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dsfellesfil3.dds.intern\home$\led\Documents\HGK\Årsmøte 2020\"/>
    </mc:Choice>
  </mc:AlternateContent>
  <bookViews>
    <workbookView xWindow="-120" yWindow="-120" windowWidth="29040" windowHeight="15840" tabRatio="767" firstSheet="2" activeTab="4"/>
  </bookViews>
  <sheets>
    <sheet name="Thumbnail" sheetId="1" state="hidden" r:id="rId1"/>
    <sheet name="OSR_Thumbnai...12e3482a_1XMNI2G" sheetId="2" state="hidden" r:id="rId2"/>
    <sheet name="Forside" sheetId="3" r:id="rId3"/>
    <sheet name="OSR_Forside_3...1201c1b0_ZEK81E" sheetId="4" state="hidden" r:id="rId4"/>
    <sheet name="Kommentarer" sheetId="5" r:id="rId5"/>
    <sheet name="Balanse" sheetId="6" r:id="rId6"/>
    <sheet name="OSR_Sheet1_f0...aacff9c9_HY75AO" sheetId="7" state="hidden" r:id="rId7"/>
    <sheet name="Resultat m fjorår" sheetId="8" r:id="rId8"/>
    <sheet name="OSR_Resultat ...38bb1ce4_Z6PP64" sheetId="9" state="hidden" r:id="rId9"/>
    <sheet name="Resultat pr måned" sheetId="10" r:id="rId10"/>
    <sheet name="OSR_Sheet1 (2...642a1ee9_GZH6UH" sheetId="11" state="hidden" r:id="rId11"/>
    <sheet name="Åpne poster kunder" sheetId="12" r:id="rId12"/>
    <sheet name="OSR_Åpne pos...f878f1a6_17RR30P" sheetId="13" state="hidden" r:id="rId13"/>
    <sheet name="Åpne poster leverandører" sheetId="14" r:id="rId14"/>
    <sheet name="OSR_Åpne post...181a1e51_AZI7GH" sheetId="15" state="hidden" r:id="rId15"/>
    <sheet name="Tabeller Grafik" sheetId="16" state="hidden" r:id="rId16"/>
    <sheet name="OSR_Sheet1_49...64ce2a1b_RRX9XO" sheetId="17" state="hidden" r:id="rId17"/>
    <sheet name="Interface" sheetId="18" state="hidden" r:id="rId18"/>
    <sheet name="DataSetting" sheetId="19" state="hidden" r:id="rId19"/>
  </sheets>
  <definedNames>
    <definedName name="IBEK" localSheetId="5">Balanse!$D$74</definedName>
    <definedName name="IBEK" localSheetId="2">#REF!</definedName>
    <definedName name="IBEK" localSheetId="4">#REF!</definedName>
    <definedName name="IBEK" localSheetId="3">#REF!</definedName>
    <definedName name="IBEK" localSheetId="8">#REF!</definedName>
    <definedName name="IBEK" localSheetId="10">#REF!</definedName>
    <definedName name="IBEK" localSheetId="16">#REF!</definedName>
    <definedName name="IBEK" localSheetId="6">OSR_Sheet1_f0...aacff9c9_HY75AO!$D$51</definedName>
    <definedName name="IBEK" localSheetId="1">#REF!</definedName>
    <definedName name="IBEK" localSheetId="12">#REF!</definedName>
    <definedName name="IBEK" localSheetId="14">#REF!</definedName>
    <definedName name="IBEK" localSheetId="7">#REF!</definedName>
    <definedName name="IBEK" localSheetId="9">#REF!</definedName>
    <definedName name="IBEK" localSheetId="15">#REF!</definedName>
    <definedName name="IBEK" localSheetId="0">#REF!</definedName>
    <definedName name="IBEK" localSheetId="11">#REF!</definedName>
    <definedName name="IBEK" localSheetId="13">#REF!</definedName>
    <definedName name="IBEK">#REF!</definedName>
    <definedName name="IBGjeld" localSheetId="5">Balanse!$D$100</definedName>
    <definedName name="IBGjeld" localSheetId="2">#REF!</definedName>
    <definedName name="IBGjeld" localSheetId="4">#REF!</definedName>
    <definedName name="IBGjeld" localSheetId="3">#REF!</definedName>
    <definedName name="IBGjeld" localSheetId="8">#REF!</definedName>
    <definedName name="IBGjeld" localSheetId="10">#REF!</definedName>
    <definedName name="IBGjeld" localSheetId="16">#REF!</definedName>
    <definedName name="IBGjeld" localSheetId="6">OSR_Sheet1_f0...aacff9c9_HY75AO!$D$61</definedName>
    <definedName name="IBGjeld" localSheetId="1">#REF!</definedName>
    <definedName name="IBGjeld" localSheetId="12">#REF!</definedName>
    <definedName name="IBGjeld" localSheetId="14">#REF!</definedName>
    <definedName name="IBGjeld" localSheetId="7">#REF!</definedName>
    <definedName name="IBGjeld" localSheetId="9">#REF!</definedName>
    <definedName name="IBGjeld" localSheetId="15">#REF!</definedName>
    <definedName name="IBGjeld" localSheetId="0">#REF!</definedName>
    <definedName name="IBGjeld" localSheetId="11">#REF!</definedName>
    <definedName name="IBGjeld" localSheetId="13">#REF!</definedName>
    <definedName name="IBGjeld">#REF!</definedName>
    <definedName name="Lønn" localSheetId="5">#REF!</definedName>
    <definedName name="Lønn" localSheetId="2">#REF!</definedName>
    <definedName name="Lønn" localSheetId="4">#REF!</definedName>
    <definedName name="Lønn" localSheetId="3">#REF!</definedName>
    <definedName name="Lønn" localSheetId="8">#REF!</definedName>
    <definedName name="Lønn" localSheetId="10">#REF!</definedName>
    <definedName name="Lønn" localSheetId="16">#REF!</definedName>
    <definedName name="Lønn" localSheetId="6">#REF!</definedName>
    <definedName name="Lønn" localSheetId="1">#REF!</definedName>
    <definedName name="Lønn" localSheetId="12">#REF!</definedName>
    <definedName name="Lønn" localSheetId="14">#REF!</definedName>
    <definedName name="Lønn" localSheetId="7">#REF!</definedName>
    <definedName name="Lønn" localSheetId="9">#REF!</definedName>
    <definedName name="Lønn" localSheetId="15">#REF!</definedName>
    <definedName name="Lønn" localSheetId="0">#REF!</definedName>
    <definedName name="Lønn" localSheetId="11">#REF!</definedName>
    <definedName name="Lønn" localSheetId="13">#REF!</definedName>
    <definedName name="Lønn">#REF!</definedName>
    <definedName name="mnd" localSheetId="5">#REF!</definedName>
    <definedName name="mnd" localSheetId="2">Forside!$B$30:$C$41</definedName>
    <definedName name="mnd" localSheetId="4">Kommentarer!$B$13:$C$24</definedName>
    <definedName name="mnd" localSheetId="3">OSR_Forside_3...1201c1b0_ZEK81E!$B$30:$C$41</definedName>
    <definedName name="mnd" localSheetId="8">#REF!</definedName>
    <definedName name="mnd" localSheetId="10">#REF!</definedName>
    <definedName name="mnd" localSheetId="16">#REF!</definedName>
    <definedName name="mnd" localSheetId="6">#REF!</definedName>
    <definedName name="mnd" localSheetId="1">#REF!</definedName>
    <definedName name="mnd" localSheetId="12">#REF!</definedName>
    <definedName name="mnd" localSheetId="14">#REF!</definedName>
    <definedName name="mnd" localSheetId="7">#REF!</definedName>
    <definedName name="mnd" localSheetId="9">#REF!</definedName>
    <definedName name="mnd" localSheetId="15">#REF!</definedName>
    <definedName name="mnd" localSheetId="0">#REF!</definedName>
    <definedName name="mnd" localSheetId="11">#REF!</definedName>
    <definedName name="mnd" localSheetId="13">#REF!</definedName>
    <definedName name="mnd">#REF!</definedName>
    <definedName name="OmsDenne" localSheetId="5">#REF!</definedName>
    <definedName name="OmsDenne" localSheetId="2">#REF!</definedName>
    <definedName name="OmsDenne" localSheetId="4">#REF!</definedName>
    <definedName name="OmsDenne" localSheetId="3">#REF!</definedName>
    <definedName name="OmsDenne" localSheetId="8">#REF!</definedName>
    <definedName name="OmsDenne" localSheetId="10">#REF!</definedName>
    <definedName name="OmsDenne" localSheetId="16">#REF!</definedName>
    <definedName name="OmsDenne" localSheetId="6">#REF!</definedName>
    <definedName name="OmsDenne" localSheetId="1">#REF!</definedName>
    <definedName name="OmsDenne" localSheetId="12">#REF!</definedName>
    <definedName name="OmsDenne" localSheetId="14">#REF!</definedName>
    <definedName name="OmsDenne" localSheetId="7">#REF!</definedName>
    <definedName name="OmsDenne" localSheetId="9">#REF!</definedName>
    <definedName name="OmsDenne" localSheetId="15">#REF!</definedName>
    <definedName name="OmsDenne" localSheetId="0">#REF!</definedName>
    <definedName name="OmsDenne" localSheetId="11">#REF!</definedName>
    <definedName name="OmsDenne" localSheetId="13">#REF!</definedName>
    <definedName name="OmsDenne">#REF!</definedName>
    <definedName name="OmsiYTD" localSheetId="5">#REF!</definedName>
    <definedName name="OmsiYTD" localSheetId="2">#REF!</definedName>
    <definedName name="OmsiYTD" localSheetId="4">#REF!</definedName>
    <definedName name="OmsiYTD" localSheetId="3">#REF!</definedName>
    <definedName name="OmsiYTD" localSheetId="8">#REF!</definedName>
    <definedName name="OmsiYTD" localSheetId="10">#REF!</definedName>
    <definedName name="OmsiYTD" localSheetId="16">#REF!</definedName>
    <definedName name="OmsiYTD" localSheetId="6">#REF!</definedName>
    <definedName name="OmsiYTD" localSheetId="1">#REF!</definedName>
    <definedName name="OmsiYTD" localSheetId="12">#REF!</definedName>
    <definedName name="OmsiYTD" localSheetId="14">#REF!</definedName>
    <definedName name="OmsiYTD" localSheetId="7">#REF!</definedName>
    <definedName name="OmsiYTD" localSheetId="9">#REF!</definedName>
    <definedName name="OmsiYTD" localSheetId="15">#REF!</definedName>
    <definedName name="OmsiYTD" localSheetId="0">#REF!</definedName>
    <definedName name="OmsiYTD" localSheetId="11">#REF!</definedName>
    <definedName name="OmsiYTD" localSheetId="13">#REF!</definedName>
    <definedName name="OmsiYTD">#REF!</definedName>
    <definedName name="OmsLYTD" localSheetId="5">#REF!</definedName>
    <definedName name="OmsLYTD" localSheetId="2">#REF!</definedName>
    <definedName name="OmsLYTD" localSheetId="4">#REF!</definedName>
    <definedName name="OmsLYTD" localSheetId="3">#REF!</definedName>
    <definedName name="OmsLYTD" localSheetId="8">#REF!</definedName>
    <definedName name="OmsLYTD" localSheetId="10">#REF!</definedName>
    <definedName name="OmsLYTD" localSheetId="16">#REF!</definedName>
    <definedName name="OmsLYTD" localSheetId="6">#REF!</definedName>
    <definedName name="OmsLYTD" localSheetId="1">#REF!</definedName>
    <definedName name="OmsLYTD" localSheetId="12">#REF!</definedName>
    <definedName name="OmsLYTD" localSheetId="14">#REF!</definedName>
    <definedName name="OmsLYTD" localSheetId="7">#REF!</definedName>
    <definedName name="OmsLYTD" localSheetId="9">#REF!</definedName>
    <definedName name="OmsLYTD" localSheetId="15">#REF!</definedName>
    <definedName name="OmsLYTD" localSheetId="0">#REF!</definedName>
    <definedName name="OmsLYTD" localSheetId="11">#REF!</definedName>
    <definedName name="OmsLYTD" localSheetId="13">#REF!</definedName>
    <definedName name="OmsLYTD">#REF!</definedName>
    <definedName name="OSR_GearWriter_0" localSheetId="5">Balanse!$D$5:$S$5</definedName>
    <definedName name="OSR_GearWriter_0" localSheetId="2">Forside!$B$3:$C$3</definedName>
    <definedName name="OSR_GearWriter_0" localSheetId="7">'Resultat m fjorår'!$D$5:$F$5</definedName>
    <definedName name="OSR_GearWriter_0" localSheetId="9">'Resultat pr måned'!$D$5:$S$5</definedName>
    <definedName name="OSR_GearWriter_0" localSheetId="0">Thumbnail!$D$7:$F$7</definedName>
    <definedName name="OSR_GearWriter_1" localSheetId="5">Balanse!$B$6:$C$6</definedName>
    <definedName name="OSR_GearWriter_1" localSheetId="7">'Resultat m fjorår'!$B$6:$C$6</definedName>
    <definedName name="OSR_GearWriter_1" localSheetId="9">'Resultat pr måned'!$B$6:$C$6</definedName>
    <definedName name="OSR_GearWriter_2" localSheetId="5">Balanse!$D$6:$S$6</definedName>
    <definedName name="OSR_GearWriter_2" localSheetId="7">'Resultat m fjorår'!$D$6:$F$6</definedName>
    <definedName name="OSR_GearWriter_2" localSheetId="9">'Resultat pr måned'!$D$6:$S$6</definedName>
    <definedName name="OSR_GearWriter_3" localSheetId="5">Balanse!$F$10:$R$10</definedName>
    <definedName name="OSR_GearWriter_3" localSheetId="9">'Resultat pr måned'!$D$10:$P$10</definedName>
    <definedName name="OSRRefG12x" localSheetId="11">'Åpne poster kunder'!$G$12,'Åpne poster kunder'!$G$15,'Åpne poster kunder'!$G$18</definedName>
    <definedName name="ResDenne" localSheetId="5">#REF!</definedName>
    <definedName name="ResDenne" localSheetId="2">#REF!</definedName>
    <definedName name="ResDenne" localSheetId="4">#REF!</definedName>
    <definedName name="ResDenne" localSheetId="3">#REF!</definedName>
    <definedName name="ResDenne" localSheetId="8">#REF!</definedName>
    <definedName name="ResDenne" localSheetId="10">#REF!</definedName>
    <definedName name="ResDenne" localSheetId="16">#REF!</definedName>
    <definedName name="ResDenne" localSheetId="6">#REF!</definedName>
    <definedName name="ResDenne" localSheetId="1">#REF!</definedName>
    <definedName name="ResDenne" localSheetId="12">#REF!</definedName>
    <definedName name="ResDenne" localSheetId="14">#REF!</definedName>
    <definedName name="ResDenne" localSheetId="7">#REF!</definedName>
    <definedName name="ResDenne" localSheetId="9">#REF!</definedName>
    <definedName name="ResDenne" localSheetId="15">#REF!</definedName>
    <definedName name="ResDenne" localSheetId="0">#REF!</definedName>
    <definedName name="ResDenne" localSheetId="11">#REF!</definedName>
    <definedName name="ResDenne" localSheetId="13">#REF!</definedName>
    <definedName name="ResDenne">#REF!</definedName>
    <definedName name="ResForrige" localSheetId="5">#REF!</definedName>
    <definedName name="ResForrige" localSheetId="2">#REF!</definedName>
    <definedName name="ResForrige" localSheetId="4">#REF!</definedName>
    <definedName name="ResForrige" localSheetId="3">#REF!</definedName>
    <definedName name="ResForrige" localSheetId="8">#REF!</definedName>
    <definedName name="ResForrige" localSheetId="10">#REF!</definedName>
    <definedName name="ResForrige" localSheetId="16">#REF!</definedName>
    <definedName name="ResForrige" localSheetId="6">#REF!</definedName>
    <definedName name="ResForrige" localSheetId="1">#REF!</definedName>
    <definedName name="ResForrige" localSheetId="12">#REF!</definedName>
    <definedName name="ResForrige" localSheetId="14">#REF!</definedName>
    <definedName name="ResForrige" localSheetId="7">#REF!</definedName>
    <definedName name="ResForrige" localSheetId="9">#REF!</definedName>
    <definedName name="ResForrige" localSheetId="15">#REF!</definedName>
    <definedName name="ResForrige" localSheetId="0">#REF!</definedName>
    <definedName name="ResForrige" localSheetId="11">#REF!</definedName>
    <definedName name="ResForrige" localSheetId="13">#REF!</definedName>
    <definedName name="ResForrige">#REF!</definedName>
    <definedName name="ResiFjor" localSheetId="5">#REF!</definedName>
    <definedName name="ResiFjor" localSheetId="2">#REF!</definedName>
    <definedName name="ResiFjor" localSheetId="4">#REF!</definedName>
    <definedName name="ResiFjor" localSheetId="3">#REF!</definedName>
    <definedName name="ResiFjor" localSheetId="8">#REF!</definedName>
    <definedName name="ResiFjor" localSheetId="10">#REF!</definedName>
    <definedName name="ResiFjor" localSheetId="16">#REF!</definedName>
    <definedName name="ResiFjor" localSheetId="6">#REF!</definedName>
    <definedName name="ResiFjor" localSheetId="1">#REF!</definedName>
    <definedName name="ResiFjor" localSheetId="12">#REF!</definedName>
    <definedName name="ResiFjor" localSheetId="14">#REF!</definedName>
    <definedName name="ResiFjor" localSheetId="7">#REF!</definedName>
    <definedName name="ResiFjor" localSheetId="9">#REF!</definedName>
    <definedName name="ResiFjor" localSheetId="15">#REF!</definedName>
    <definedName name="ResiFjor" localSheetId="0">#REF!</definedName>
    <definedName name="ResiFjor" localSheetId="11">#REF!</definedName>
    <definedName name="ResiFjor" localSheetId="13">#REF!</definedName>
    <definedName name="ResiFjor">#REF!</definedName>
    <definedName name="ResLYTD" localSheetId="5">#REF!</definedName>
    <definedName name="ResLYTD" localSheetId="2">#REF!</definedName>
    <definedName name="ResLYTD" localSheetId="4">#REF!</definedName>
    <definedName name="ResLYTD" localSheetId="3">#REF!</definedName>
    <definedName name="ResLYTD" localSheetId="8">#REF!</definedName>
    <definedName name="ResLYTD" localSheetId="10">#REF!</definedName>
    <definedName name="ResLYTD" localSheetId="16">#REF!</definedName>
    <definedName name="ResLYTD" localSheetId="6">#REF!</definedName>
    <definedName name="ResLYTD" localSheetId="1">#REF!</definedName>
    <definedName name="ResLYTD" localSheetId="12">#REF!</definedName>
    <definedName name="ResLYTD" localSheetId="14">#REF!</definedName>
    <definedName name="ResLYTD" localSheetId="7">#REF!</definedName>
    <definedName name="ResLYTD" localSheetId="9">#REF!</definedName>
    <definedName name="ResLYTD" localSheetId="15">#REF!</definedName>
    <definedName name="ResLYTD" localSheetId="0">#REF!</definedName>
    <definedName name="ResLYTD" localSheetId="11">#REF!</definedName>
    <definedName name="ResLYTD" localSheetId="13">#REF!</definedName>
    <definedName name="ResLYTD">#REF!</definedName>
    <definedName name="ResPForrige" localSheetId="5">#REF!</definedName>
    <definedName name="ResPForrige" localSheetId="2">#REF!</definedName>
    <definedName name="ResPForrige" localSheetId="4">#REF!</definedName>
    <definedName name="ResPForrige" localSheetId="3">#REF!</definedName>
    <definedName name="ResPForrige" localSheetId="8">#REF!</definedName>
    <definedName name="ResPForrige" localSheetId="10">#REF!</definedName>
    <definedName name="ResPForrige" localSheetId="16">#REF!</definedName>
    <definedName name="ResPForrige" localSheetId="6">#REF!</definedName>
    <definedName name="ResPForrige" localSheetId="1">#REF!</definedName>
    <definedName name="ResPForrige" localSheetId="12">#REF!</definedName>
    <definedName name="ResPForrige" localSheetId="14">#REF!</definedName>
    <definedName name="ResPForrige" localSheetId="7">#REF!</definedName>
    <definedName name="ResPForrige" localSheetId="9">#REF!</definedName>
    <definedName name="ResPForrige" localSheetId="15">#REF!</definedName>
    <definedName name="ResPForrige" localSheetId="0">#REF!</definedName>
    <definedName name="ResPForrige" localSheetId="11">#REF!</definedName>
    <definedName name="ResPForrige" localSheetId="13">#REF!</definedName>
    <definedName name="ResPForrige">#REF!</definedName>
    <definedName name="ResPiFjor" localSheetId="5">#REF!</definedName>
    <definedName name="ResPiFjor" localSheetId="2">#REF!</definedName>
    <definedName name="ResPiFjor" localSheetId="4">#REF!</definedName>
    <definedName name="ResPiFjor" localSheetId="3">#REF!</definedName>
    <definedName name="ResPiFjor" localSheetId="8">#REF!</definedName>
    <definedName name="ResPiFjor" localSheetId="10">#REF!</definedName>
    <definedName name="ResPiFjor" localSheetId="16">#REF!</definedName>
    <definedName name="ResPiFjor" localSheetId="6">#REF!</definedName>
    <definedName name="ResPiFjor" localSheetId="1">#REF!</definedName>
    <definedName name="ResPiFjor" localSheetId="12">#REF!</definedName>
    <definedName name="ResPiFjor" localSheetId="14">#REF!</definedName>
    <definedName name="ResPiFjor" localSheetId="7">#REF!</definedName>
    <definedName name="ResPiFjor" localSheetId="9">#REF!</definedName>
    <definedName name="ResPiFjor" localSheetId="15">#REF!</definedName>
    <definedName name="ResPiFjor" localSheetId="0">#REF!</definedName>
    <definedName name="ResPiFjor" localSheetId="11">#REF!</definedName>
    <definedName name="ResPiFjor" localSheetId="13">#REF!</definedName>
    <definedName name="ResPiFjor">#REF!</definedName>
    <definedName name="ResPLYTD" localSheetId="5">#REF!</definedName>
    <definedName name="ResPLYTD" localSheetId="2">#REF!</definedName>
    <definedName name="ResPLYTD" localSheetId="4">#REF!</definedName>
    <definedName name="ResPLYTD" localSheetId="3">#REF!</definedName>
    <definedName name="ResPLYTD" localSheetId="8">#REF!</definedName>
    <definedName name="ResPLYTD" localSheetId="10">#REF!</definedName>
    <definedName name="ResPLYTD" localSheetId="16">#REF!</definedName>
    <definedName name="ResPLYTD" localSheetId="6">#REF!</definedName>
    <definedName name="ResPLYTD" localSheetId="1">#REF!</definedName>
    <definedName name="ResPLYTD" localSheetId="12">#REF!</definedName>
    <definedName name="ResPLYTD" localSheetId="14">#REF!</definedName>
    <definedName name="ResPLYTD" localSheetId="7">#REF!</definedName>
    <definedName name="ResPLYTD" localSheetId="9">#REF!</definedName>
    <definedName name="ResPLYTD" localSheetId="15">#REF!</definedName>
    <definedName name="ResPLYTD" localSheetId="0">#REF!</definedName>
    <definedName name="ResPLYTD" localSheetId="11">#REF!</definedName>
    <definedName name="ResPLYTD" localSheetId="13">#REF!</definedName>
    <definedName name="ResPLYTD">#REF!</definedName>
    <definedName name="ResYTD" localSheetId="5">#REF!</definedName>
    <definedName name="ResYTD" localSheetId="2">#REF!</definedName>
    <definedName name="ResYTD" localSheetId="4">#REF!</definedName>
    <definedName name="ResYTD" localSheetId="3">#REF!</definedName>
    <definedName name="ResYTD" localSheetId="8">#REF!</definedName>
    <definedName name="ResYTD" localSheetId="10">#REF!</definedName>
    <definedName name="ResYTD" localSheetId="16">#REF!</definedName>
    <definedName name="ResYTD" localSheetId="6">#REF!</definedName>
    <definedName name="ResYTD" localSheetId="1">#REF!</definedName>
    <definedName name="ResYTD" localSheetId="12">#REF!</definedName>
    <definedName name="ResYTD" localSheetId="14">#REF!</definedName>
    <definedName name="ResYTD" localSheetId="7">#REF!</definedName>
    <definedName name="ResYTD" localSheetId="9">#REF!</definedName>
    <definedName name="ResYTD" localSheetId="15">#REF!</definedName>
    <definedName name="ResYTD" localSheetId="0">#REF!</definedName>
    <definedName name="ResYTD" localSheetId="11">#REF!</definedName>
    <definedName name="ResYTD" localSheetId="13">#REF!</definedName>
    <definedName name="ResYTD">#REF!</definedName>
    <definedName name="UBAM" localSheetId="5">Balanse!$S$40</definedName>
    <definedName name="UBAM" localSheetId="2">#REF!</definedName>
    <definedName name="UBAM" localSheetId="4">#REF!</definedName>
    <definedName name="UBAM" localSheetId="3">#REF!</definedName>
    <definedName name="UBAM" localSheetId="8">#REF!</definedName>
    <definedName name="UBAM" localSheetId="10">#REF!</definedName>
    <definedName name="UBAM" localSheetId="16">#REF!</definedName>
    <definedName name="UBAM" localSheetId="6">OSR_Sheet1_f0...aacff9c9_HY75AO!$H$25</definedName>
    <definedName name="UBAM" localSheetId="1">#REF!</definedName>
    <definedName name="UBAM" localSheetId="12">#REF!</definedName>
    <definedName name="UBAM" localSheetId="14">#REF!</definedName>
    <definedName name="UBAM" localSheetId="7">#REF!</definedName>
    <definedName name="UBAM" localSheetId="9">#REF!</definedName>
    <definedName name="UBAM" localSheetId="15">#REF!</definedName>
    <definedName name="UBAM" localSheetId="0">#REF!</definedName>
    <definedName name="UBAM" localSheetId="11">#REF!</definedName>
    <definedName name="UBAM" localSheetId="13">#REF!</definedName>
    <definedName name="UBAM">#REF!</definedName>
    <definedName name="UBBank" localSheetId="5">Balanse!$S$58</definedName>
    <definedName name="UBBank" localSheetId="2">#REF!</definedName>
    <definedName name="UBBank" localSheetId="4">#REF!</definedName>
    <definedName name="UBBank" localSheetId="3">#REF!</definedName>
    <definedName name="UBBank" localSheetId="8">#REF!</definedName>
    <definedName name="UBBank" localSheetId="10">#REF!</definedName>
    <definedName name="UBBank" localSheetId="16">#REF!</definedName>
    <definedName name="UBBank" localSheetId="6">OSR_Sheet1_f0...aacff9c9_HY75AO!$H$35</definedName>
    <definedName name="UBBank" localSheetId="1">#REF!</definedName>
    <definedName name="UBBank" localSheetId="12">#REF!</definedName>
    <definedName name="UBBank" localSheetId="14">#REF!</definedName>
    <definedName name="UBBank" localSheetId="7">#REF!</definedName>
    <definedName name="UBBank" localSheetId="9">#REF!</definedName>
    <definedName name="UBBank" localSheetId="15">#REF!</definedName>
    <definedName name="UBBank" localSheetId="0">#REF!</definedName>
    <definedName name="UBBank" localSheetId="11">#REF!</definedName>
    <definedName name="UBBank" localSheetId="13">#REF!</definedName>
    <definedName name="UBBank">#REF!</definedName>
    <definedName name="UBEK" localSheetId="5">Balanse!$S$74</definedName>
    <definedName name="UBEK" localSheetId="2">#REF!</definedName>
    <definedName name="UBEK" localSheetId="4">#REF!</definedName>
    <definedName name="UBEK" localSheetId="3">#REF!</definedName>
    <definedName name="UBEK" localSheetId="8">#REF!</definedName>
    <definedName name="UBEK" localSheetId="10">#REF!</definedName>
    <definedName name="UBEK" localSheetId="16">#REF!</definedName>
    <definedName name="UBEK" localSheetId="6">OSR_Sheet1_f0...aacff9c9_HY75AO!$H$51</definedName>
    <definedName name="UBEK" localSheetId="1">#REF!</definedName>
    <definedName name="UBEK" localSheetId="12">#REF!</definedName>
    <definedName name="UBEK" localSheetId="14">#REF!</definedName>
    <definedName name="UBEK" localSheetId="7">#REF!</definedName>
    <definedName name="UBEK" localSheetId="9">#REF!</definedName>
    <definedName name="UBEK" localSheetId="15">#REF!</definedName>
    <definedName name="UBEK" localSheetId="0">#REF!</definedName>
    <definedName name="UBEK" localSheetId="11">#REF!</definedName>
    <definedName name="UBEK" localSheetId="13">#REF!</definedName>
    <definedName name="UBEK">#REF!</definedName>
    <definedName name="UBGjeld" localSheetId="5">Balanse!$S$100</definedName>
    <definedName name="UBGjeld" localSheetId="2">#REF!</definedName>
    <definedName name="UBGjeld" localSheetId="4">#REF!</definedName>
    <definedName name="UBGjeld" localSheetId="3">#REF!</definedName>
    <definedName name="UBGjeld" localSheetId="8">#REF!</definedName>
    <definedName name="UBGjeld" localSheetId="10">#REF!</definedName>
    <definedName name="UBGjeld" localSheetId="16">#REF!</definedName>
    <definedName name="UBGjeld" localSheetId="6">OSR_Sheet1_f0...aacff9c9_HY75AO!$H$61</definedName>
    <definedName name="UBGjeld" localSheetId="1">#REF!</definedName>
    <definedName name="UBGjeld" localSheetId="12">#REF!</definedName>
    <definedName name="UBGjeld" localSheetId="14">#REF!</definedName>
    <definedName name="UBGjeld" localSheetId="7">#REF!</definedName>
    <definedName name="UBGjeld" localSheetId="9">#REF!</definedName>
    <definedName name="UBGjeld" localSheetId="15">#REF!</definedName>
    <definedName name="UBGjeld" localSheetId="0">#REF!</definedName>
    <definedName name="UBGjeld" localSheetId="11">#REF!</definedName>
    <definedName name="UBGjeld" localSheetId="13">#REF!</definedName>
    <definedName name="UBGjeld">#REF!</definedName>
    <definedName name="UBOM" localSheetId="5">Balanse!$S$60</definedName>
    <definedName name="UBOM" localSheetId="2">#REF!</definedName>
    <definedName name="UBOM" localSheetId="4">#REF!</definedName>
    <definedName name="UBOM" localSheetId="3">#REF!</definedName>
    <definedName name="UBOM" localSheetId="8">#REF!</definedName>
    <definedName name="UBOM" localSheetId="10">#REF!</definedName>
    <definedName name="UBOM" localSheetId="16">#REF!</definedName>
    <definedName name="UBOM" localSheetId="6">OSR_Sheet1_f0...aacff9c9_HY75AO!$H$37</definedName>
    <definedName name="UBOM" localSheetId="1">#REF!</definedName>
    <definedName name="UBOM" localSheetId="12">#REF!</definedName>
    <definedName name="UBOM" localSheetId="14">#REF!</definedName>
    <definedName name="UBOM" localSheetId="7">#REF!</definedName>
    <definedName name="UBOM" localSheetId="9">#REF!</definedName>
    <definedName name="UBOM" localSheetId="15">#REF!</definedName>
    <definedName name="UBOM" localSheetId="0">#REF!</definedName>
    <definedName name="UBOM" localSheetId="11">#REF!</definedName>
    <definedName name="UBOM" localSheetId="13">#REF!</definedName>
    <definedName name="UBOM">#REF!</definedName>
    <definedName name="_xlnm.Print_Area" localSheetId="5">Balanse!$2:$102</definedName>
    <definedName name="_xlnm.Print_Area" localSheetId="10">'OSR_Sheet1 (2...642a1ee9_GZH6UH'!$B$2:$H$73</definedName>
    <definedName name="_xlnm.Print_Area" localSheetId="6">OSR_Sheet1_f0...aacff9c9_HY75AO!$2:$63</definedName>
    <definedName name="_xlnm.Print_Area" localSheetId="12">'OSR_Åpne pos...f878f1a6_17RR30P'!$2:$15</definedName>
    <definedName name="_xlnm.Print_Area" localSheetId="14">'OSR_Åpne post...181a1e51_AZI7GH'!$2:$15</definedName>
    <definedName name="_xlnm.Print_Area" localSheetId="9">'Resultat pr måned'!$B$2:$S$109</definedName>
    <definedName name="_xlnm.Print_Area" localSheetId="11">'Åpne poster kunder'!$2:$21</definedName>
    <definedName name="_xlnm.Print_Area" localSheetId="13">'Åpne poster leverandører'!$2:$19</definedName>
    <definedName name="VareF" localSheetId="5">#REF!</definedName>
    <definedName name="VareF" localSheetId="2">#REF!</definedName>
    <definedName name="VareF" localSheetId="4">#REF!</definedName>
    <definedName name="VareF" localSheetId="3">#REF!</definedName>
    <definedName name="VareF" localSheetId="8">#REF!</definedName>
    <definedName name="VareF" localSheetId="10">#REF!</definedName>
    <definedName name="VareF" localSheetId="16">#REF!</definedName>
    <definedName name="VareF" localSheetId="6">#REF!</definedName>
    <definedName name="VareF" localSheetId="1">#REF!</definedName>
    <definedName name="VareF" localSheetId="12">#REF!</definedName>
    <definedName name="VareF" localSheetId="14">#REF!</definedName>
    <definedName name="VareF" localSheetId="7">#REF!</definedName>
    <definedName name="VareF" localSheetId="9">#REF!</definedName>
    <definedName name="VareF" localSheetId="15">#REF!</definedName>
    <definedName name="VareF" localSheetId="0">#REF!</definedName>
    <definedName name="VareF" localSheetId="11">#REF!</definedName>
    <definedName name="VareF" localSheetId="13">#REF!</definedName>
    <definedName name="VareF">#REF!</definedName>
    <definedName name="Øvrig" localSheetId="5">#REF!</definedName>
    <definedName name="Øvrig" localSheetId="2">#REF!</definedName>
    <definedName name="Øvrig" localSheetId="4">#REF!</definedName>
    <definedName name="Øvrig" localSheetId="3">#REF!</definedName>
    <definedName name="Øvrig" localSheetId="8">#REF!</definedName>
    <definedName name="Øvrig" localSheetId="10">#REF!</definedName>
    <definedName name="Øvrig" localSheetId="16">#REF!</definedName>
    <definedName name="Øvrig" localSheetId="6">#REF!</definedName>
    <definedName name="Øvrig" localSheetId="1">#REF!</definedName>
    <definedName name="Øvrig" localSheetId="12">#REF!</definedName>
    <definedName name="Øvrig" localSheetId="14">#REF!</definedName>
    <definedName name="Øvrig" localSheetId="7">#REF!</definedName>
    <definedName name="Øvrig" localSheetId="9">#REF!</definedName>
    <definedName name="Øvrig" localSheetId="15">#REF!</definedName>
    <definedName name="Øvrig" localSheetId="0">#REF!</definedName>
    <definedName name="Øvrig" localSheetId="11">#REF!</definedName>
    <definedName name="Øvrig" localSheetId="13">#REF!</definedName>
    <definedName name="Øvrig">#REF!</definedName>
    <definedName name="ÅPKunderForf" localSheetId="5">#REF!</definedName>
    <definedName name="ÅPKunderForf" localSheetId="2">#REF!</definedName>
    <definedName name="ÅPKunderForf" localSheetId="4">#REF!</definedName>
    <definedName name="ÅPKunderForf" localSheetId="3">#REF!</definedName>
    <definedName name="ÅPKunderForf" localSheetId="8">#REF!</definedName>
    <definedName name="ÅPKunderForf" localSheetId="10">#REF!</definedName>
    <definedName name="ÅPKunderForf" localSheetId="16">#REF!</definedName>
    <definedName name="ÅPKunderForf" localSheetId="6">#REF!</definedName>
    <definedName name="ÅPKunderForf" localSheetId="1">#REF!</definedName>
    <definedName name="ÅPKunderForf" localSheetId="12">#REF!</definedName>
    <definedName name="ÅPKunderForf" localSheetId="14">#REF!</definedName>
    <definedName name="ÅPKunderForf" localSheetId="7">#REF!</definedName>
    <definedName name="ÅPKunderForf" localSheetId="9">#REF!</definedName>
    <definedName name="ÅPKunderForf" localSheetId="15">#REF!</definedName>
    <definedName name="ÅPKunderForf" localSheetId="0">#REF!</definedName>
    <definedName name="ÅPKunderForf" localSheetId="11">#REF!</definedName>
    <definedName name="ÅPKunderForf" localSheetId="13">#REF!</definedName>
    <definedName name="ÅPKunderForf">#REF!</definedName>
    <definedName name="ÅPKunderTot" localSheetId="5">#REF!</definedName>
    <definedName name="ÅPKunderTot" localSheetId="2">#REF!</definedName>
    <definedName name="ÅPKunderTot" localSheetId="4">#REF!</definedName>
    <definedName name="ÅPKunderTot" localSheetId="3">#REF!</definedName>
    <definedName name="ÅPKunderTot" localSheetId="8">#REF!</definedName>
    <definedName name="ÅPKunderTot" localSheetId="10">#REF!</definedName>
    <definedName name="ÅPKunderTot" localSheetId="16">#REF!</definedName>
    <definedName name="ÅPKunderTot" localSheetId="6">#REF!</definedName>
    <definedName name="ÅPKunderTot" localSheetId="1">#REF!</definedName>
    <definedName name="ÅPKunderTot" localSheetId="12">#REF!</definedName>
    <definedName name="ÅPKunderTot" localSheetId="14">#REF!</definedName>
    <definedName name="ÅPKunderTot" localSheetId="7">#REF!</definedName>
    <definedName name="ÅPKunderTot" localSheetId="9">#REF!</definedName>
    <definedName name="ÅPKunderTot" localSheetId="15">#REF!</definedName>
    <definedName name="ÅPKunderTot" localSheetId="0">#REF!</definedName>
    <definedName name="ÅPKunderTot" localSheetId="11">#REF!</definedName>
    <definedName name="ÅPKunderTot" localSheetId="13">#REF!</definedName>
    <definedName name="ÅPKunderTot">#REF!</definedName>
    <definedName name="ÅPLevForf" localSheetId="5">#REF!</definedName>
    <definedName name="ÅPLevForf" localSheetId="2">#REF!</definedName>
    <definedName name="ÅPLevForf" localSheetId="4">#REF!</definedName>
    <definedName name="ÅPLevForf" localSheetId="3">#REF!</definedName>
    <definedName name="ÅPLevForf" localSheetId="8">#REF!</definedName>
    <definedName name="ÅPLevForf" localSheetId="10">#REF!</definedName>
    <definedName name="ÅPLevForf" localSheetId="16">#REF!</definedName>
    <definedName name="ÅPLevForf" localSheetId="6">#REF!</definedName>
    <definedName name="ÅPLevForf" localSheetId="1">#REF!</definedName>
    <definedName name="ÅPLevForf" localSheetId="12">#REF!</definedName>
    <definedName name="ÅPLevForf" localSheetId="14">#REF!</definedName>
    <definedName name="ÅPLevForf" localSheetId="7">#REF!</definedName>
    <definedName name="ÅPLevForf" localSheetId="9">#REF!</definedName>
    <definedName name="ÅPLevForf" localSheetId="15">#REF!</definedName>
    <definedName name="ÅPLevForf" localSheetId="0">#REF!</definedName>
    <definedName name="ÅPLevForf" localSheetId="11">#REF!</definedName>
    <definedName name="ÅPLevForf" localSheetId="13">#REF!</definedName>
    <definedName name="ÅPLevForf">#REF!</definedName>
    <definedName name="ÅPLevTot" localSheetId="5">#REF!</definedName>
    <definedName name="ÅPLevTot" localSheetId="2">#REF!</definedName>
    <definedName name="ÅPLevTot" localSheetId="4">#REF!</definedName>
    <definedName name="ÅPLevTot" localSheetId="3">#REF!</definedName>
    <definedName name="ÅPLevTot" localSheetId="8">#REF!</definedName>
    <definedName name="ÅPLevTot" localSheetId="10">#REF!</definedName>
    <definedName name="ÅPLevTot" localSheetId="16">#REF!</definedName>
    <definedName name="ÅPLevTot" localSheetId="6">#REF!</definedName>
    <definedName name="ÅPLevTot" localSheetId="1">#REF!</definedName>
    <definedName name="ÅPLevTot" localSheetId="12">#REF!</definedName>
    <definedName name="ÅPLevTot" localSheetId="14">#REF!</definedName>
    <definedName name="ÅPLevTot" localSheetId="7">#REF!</definedName>
    <definedName name="ÅPLevTot" localSheetId="9">#REF!</definedName>
    <definedName name="ÅPLevTot" localSheetId="15">#REF!</definedName>
    <definedName name="ÅPLevTot" localSheetId="0">#REF!</definedName>
    <definedName name="ÅPLevTot" localSheetId="11">#REF!</definedName>
    <definedName name="ÅPLevTot" localSheetId="13">#REF!</definedName>
    <definedName name="ÅPLevTot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6" l="1"/>
  <c r="M15" i="16"/>
  <c r="K15" i="16"/>
  <c r="H15" i="16"/>
  <c r="G15" i="16"/>
  <c r="AB14" i="16"/>
  <c r="O15" i="16" s="1"/>
  <c r="AA14" i="16"/>
  <c r="Z14" i="16"/>
  <c r="Y14" i="16"/>
  <c r="L15" i="16" s="1"/>
  <c r="X14" i="16"/>
  <c r="W14" i="16"/>
  <c r="J15" i="16" s="1"/>
  <c r="V14" i="16"/>
  <c r="I15" i="16" s="1"/>
  <c r="U14" i="16"/>
  <c r="T14" i="16"/>
  <c r="S14" i="16"/>
  <c r="F15" i="16" s="1"/>
  <c r="R14" i="16"/>
  <c r="E15" i="16" s="1"/>
  <c r="Q14" i="16"/>
  <c r="D15" i="16" s="1"/>
  <c r="O14" i="16"/>
  <c r="N14" i="16"/>
  <c r="M14" i="16"/>
  <c r="L14" i="16"/>
  <c r="K14" i="16"/>
  <c r="J14" i="16"/>
  <c r="I14" i="16"/>
  <c r="H14" i="16"/>
  <c r="G14" i="16"/>
  <c r="F14" i="16"/>
  <c r="E14" i="16"/>
  <c r="D14" i="16"/>
  <c r="O13" i="16"/>
  <c r="N13" i="16"/>
  <c r="M13" i="16"/>
  <c r="L13" i="16"/>
  <c r="K13" i="16"/>
  <c r="J13" i="16"/>
  <c r="I13" i="16"/>
  <c r="H13" i="16"/>
  <c r="G13" i="16"/>
  <c r="F13" i="16"/>
  <c r="E13" i="16"/>
  <c r="D13" i="16"/>
  <c r="C5" i="15"/>
  <c r="H15" i="14"/>
  <c r="H12" i="14"/>
  <c r="H19" i="14" s="1"/>
  <c r="C5" i="14"/>
  <c r="C5" i="13"/>
  <c r="C5" i="12"/>
  <c r="O96" i="10"/>
  <c r="N96" i="10"/>
  <c r="M96" i="10"/>
  <c r="L96" i="10"/>
  <c r="K96" i="10"/>
  <c r="J96" i="10"/>
  <c r="I96" i="10"/>
  <c r="H96" i="10"/>
  <c r="G96" i="10"/>
  <c r="F96" i="10"/>
  <c r="Q96" i="10" s="1"/>
  <c r="E96" i="10"/>
  <c r="D96" i="10"/>
  <c r="Q95" i="10"/>
  <c r="Q94" i="10"/>
  <c r="O90" i="10"/>
  <c r="N90" i="10"/>
  <c r="M90" i="10"/>
  <c r="L90" i="10"/>
  <c r="K90" i="10"/>
  <c r="J90" i="10"/>
  <c r="I90" i="10"/>
  <c r="H90" i="10"/>
  <c r="G90" i="10"/>
  <c r="F90" i="10"/>
  <c r="E90" i="10"/>
  <c r="D90" i="10"/>
  <c r="Q89" i="10"/>
  <c r="Q88" i="10"/>
  <c r="Q87" i="10"/>
  <c r="O83" i="10"/>
  <c r="N83" i="10"/>
  <c r="M83" i="10"/>
  <c r="L83" i="10"/>
  <c r="K83" i="10"/>
  <c r="J83" i="10"/>
  <c r="I83" i="10"/>
  <c r="H83" i="10"/>
  <c r="G83" i="10"/>
  <c r="F83" i="10"/>
  <c r="E83" i="10"/>
  <c r="D83" i="10"/>
  <c r="Q82" i="10"/>
  <c r="Q81" i="10"/>
  <c r="Q80" i="10"/>
  <c r="Q79" i="10"/>
  <c r="Q78" i="10"/>
  <c r="Q77" i="10"/>
  <c r="Q76" i="10"/>
  <c r="O75" i="10"/>
  <c r="N75" i="10"/>
  <c r="M75" i="10"/>
  <c r="L75" i="10"/>
  <c r="K75" i="10"/>
  <c r="J75" i="10"/>
  <c r="I75" i="10"/>
  <c r="H75" i="10"/>
  <c r="G75" i="10"/>
  <c r="F75" i="10"/>
  <c r="E75" i="10"/>
  <c r="D75" i="10"/>
  <c r="O74" i="10"/>
  <c r="N74" i="10"/>
  <c r="M74" i="10"/>
  <c r="L74" i="10"/>
  <c r="K74" i="10"/>
  <c r="J74" i="10"/>
  <c r="Q74" i="10" s="1"/>
  <c r="I74" i="10"/>
  <c r="H74" i="10"/>
  <c r="G74" i="10"/>
  <c r="F74" i="10"/>
  <c r="E74" i="10"/>
  <c r="D74" i="10"/>
  <c r="O73" i="10"/>
  <c r="N73" i="10"/>
  <c r="M73" i="10"/>
  <c r="L73" i="10"/>
  <c r="K73" i="10"/>
  <c r="J73" i="10"/>
  <c r="I73" i="10"/>
  <c r="H73" i="10"/>
  <c r="G73" i="10"/>
  <c r="F73" i="10"/>
  <c r="E73" i="10"/>
  <c r="D73" i="10"/>
  <c r="Q73" i="10" s="1"/>
  <c r="O72" i="10"/>
  <c r="N72" i="10"/>
  <c r="M72" i="10"/>
  <c r="L72" i="10"/>
  <c r="K72" i="10"/>
  <c r="J72" i="10"/>
  <c r="I72" i="10"/>
  <c r="H72" i="10"/>
  <c r="G72" i="10"/>
  <c r="F72" i="10"/>
  <c r="E72" i="10"/>
  <c r="D72" i="10"/>
  <c r="Q71" i="10"/>
  <c r="O70" i="10"/>
  <c r="N70" i="10"/>
  <c r="M70" i="10"/>
  <c r="L70" i="10"/>
  <c r="K70" i="10"/>
  <c r="J70" i="10"/>
  <c r="I70" i="10"/>
  <c r="H70" i="10"/>
  <c r="G70" i="10"/>
  <c r="F70" i="10"/>
  <c r="E70" i="10"/>
  <c r="D70" i="10"/>
  <c r="Q70" i="10" s="1"/>
  <c r="Q69" i="10"/>
  <c r="Q68" i="10"/>
  <c r="Q67" i="10"/>
  <c r="O66" i="10"/>
  <c r="N66" i="10"/>
  <c r="M66" i="10"/>
  <c r="L66" i="10"/>
  <c r="K66" i="10"/>
  <c r="J66" i="10"/>
  <c r="I66" i="10"/>
  <c r="H66" i="10"/>
  <c r="G66" i="10"/>
  <c r="F66" i="10"/>
  <c r="E66" i="10"/>
  <c r="D66" i="10"/>
  <c r="Q66" i="10" s="1"/>
  <c r="Q65" i="10"/>
  <c r="Q64" i="10"/>
  <c r="O63" i="10"/>
  <c r="N63" i="10"/>
  <c r="M63" i="10"/>
  <c r="L63" i="10"/>
  <c r="K63" i="10"/>
  <c r="J63" i="10"/>
  <c r="I63" i="10"/>
  <c r="H63" i="10"/>
  <c r="G63" i="10"/>
  <c r="Q63" i="10" s="1"/>
  <c r="F63" i="10"/>
  <c r="E63" i="10"/>
  <c r="D63" i="10"/>
  <c r="Q62" i="10"/>
  <c r="Q61" i="10"/>
  <c r="Q60" i="10"/>
  <c r="O59" i="10"/>
  <c r="N59" i="10"/>
  <c r="M59" i="10"/>
  <c r="L59" i="10"/>
  <c r="K59" i="10"/>
  <c r="J59" i="10"/>
  <c r="I59" i="10"/>
  <c r="H59" i="10"/>
  <c r="G59" i="10"/>
  <c r="Q59" i="10" s="1"/>
  <c r="F59" i="10"/>
  <c r="E59" i="10"/>
  <c r="D59" i="10"/>
  <c r="Q58" i="10"/>
  <c r="Q57" i="10"/>
  <c r="Q56" i="10"/>
  <c r="Q55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Q53" i="10"/>
  <c r="Q52" i="10"/>
  <c r="Q51" i="10"/>
  <c r="O50" i="10"/>
  <c r="N50" i="10"/>
  <c r="M50" i="10"/>
  <c r="L50" i="10"/>
  <c r="K50" i="10"/>
  <c r="J50" i="10"/>
  <c r="I50" i="10"/>
  <c r="H50" i="10"/>
  <c r="G50" i="10"/>
  <c r="F50" i="10"/>
  <c r="E50" i="10"/>
  <c r="D50" i="10"/>
  <c r="Q49" i="10"/>
  <c r="O48" i="10"/>
  <c r="N48" i="10"/>
  <c r="M48" i="10"/>
  <c r="L48" i="10"/>
  <c r="K48" i="10"/>
  <c r="J48" i="10"/>
  <c r="I48" i="10"/>
  <c r="H48" i="10"/>
  <c r="G48" i="10"/>
  <c r="F48" i="10"/>
  <c r="Q48" i="10" s="1"/>
  <c r="E48" i="10"/>
  <c r="D48" i="10"/>
  <c r="Q47" i="10"/>
  <c r="Q46" i="10"/>
  <c r="O45" i="10"/>
  <c r="N45" i="10"/>
  <c r="M45" i="10"/>
  <c r="L45" i="10"/>
  <c r="K45" i="10"/>
  <c r="J45" i="10"/>
  <c r="I45" i="10"/>
  <c r="H45" i="10"/>
  <c r="G45" i="10"/>
  <c r="F45" i="10"/>
  <c r="E45" i="10"/>
  <c r="Q45" i="10" s="1"/>
  <c r="D45" i="10"/>
  <c r="O44" i="10"/>
  <c r="N44" i="10"/>
  <c r="M44" i="10"/>
  <c r="L44" i="10"/>
  <c r="K44" i="10"/>
  <c r="J44" i="10"/>
  <c r="I44" i="10"/>
  <c r="H44" i="10"/>
  <c r="G44" i="10"/>
  <c r="F44" i="10"/>
  <c r="E44" i="10"/>
  <c r="D44" i="10"/>
  <c r="Q44" i="10" s="1"/>
  <c r="Q43" i="10"/>
  <c r="Q42" i="10"/>
  <c r="Q41" i="10"/>
  <c r="Q40" i="10"/>
  <c r="Q39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Q34" i="10"/>
  <c r="Q33" i="10"/>
  <c r="Q32" i="10"/>
  <c r="Q31" i="10"/>
  <c r="Q30" i="10"/>
  <c r="Q29" i="10"/>
  <c r="O27" i="10"/>
  <c r="N27" i="10"/>
  <c r="M27" i="10"/>
  <c r="L27" i="10"/>
  <c r="K27" i="10"/>
  <c r="J27" i="10"/>
  <c r="I27" i="10"/>
  <c r="H27" i="10"/>
  <c r="G27" i="10"/>
  <c r="F27" i="10"/>
  <c r="E27" i="10"/>
  <c r="D27" i="10"/>
  <c r="O26" i="10"/>
  <c r="N26" i="10"/>
  <c r="M26" i="10"/>
  <c r="L26" i="10"/>
  <c r="K26" i="10"/>
  <c r="J26" i="10"/>
  <c r="I26" i="10"/>
  <c r="H26" i="10"/>
  <c r="G26" i="10"/>
  <c r="F26" i="10"/>
  <c r="E26" i="10"/>
  <c r="D26" i="10"/>
  <c r="O25" i="10"/>
  <c r="N25" i="10"/>
  <c r="M25" i="10"/>
  <c r="L25" i="10"/>
  <c r="K25" i="10"/>
  <c r="J25" i="10"/>
  <c r="I25" i="10"/>
  <c r="H25" i="10"/>
  <c r="G25" i="10"/>
  <c r="F25" i="10"/>
  <c r="E25" i="10"/>
  <c r="D25" i="10"/>
  <c r="O24" i="10"/>
  <c r="N24" i="10"/>
  <c r="M24" i="10"/>
  <c r="L24" i="10"/>
  <c r="K24" i="10"/>
  <c r="J24" i="10"/>
  <c r="I24" i="10"/>
  <c r="H24" i="10"/>
  <c r="G24" i="10"/>
  <c r="F24" i="10"/>
  <c r="E24" i="10"/>
  <c r="D24" i="10"/>
  <c r="O23" i="10"/>
  <c r="O28" i="10" s="1"/>
  <c r="N23" i="10"/>
  <c r="M23" i="10"/>
  <c r="L23" i="10"/>
  <c r="K23" i="10"/>
  <c r="J23" i="10"/>
  <c r="I23" i="10"/>
  <c r="H23" i="10"/>
  <c r="G23" i="10"/>
  <c r="F23" i="10"/>
  <c r="E23" i="10"/>
  <c r="D23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Q19" i="10" s="1"/>
  <c r="Q18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O17" i="10"/>
  <c r="N17" i="10"/>
  <c r="N28" i="10" s="1"/>
  <c r="N37" i="10" s="1"/>
  <c r="M17" i="10"/>
  <c r="L17" i="10"/>
  <c r="K17" i="10"/>
  <c r="J17" i="10"/>
  <c r="I17" i="10"/>
  <c r="H17" i="10"/>
  <c r="G17" i="10"/>
  <c r="F17" i="10"/>
  <c r="E17" i="10"/>
  <c r="E28" i="10" s="1"/>
  <c r="D17" i="10"/>
  <c r="O16" i="10"/>
  <c r="N16" i="10"/>
  <c r="M16" i="10"/>
  <c r="L16" i="10"/>
  <c r="K16" i="10"/>
  <c r="J16" i="10"/>
  <c r="Q16" i="10" s="1"/>
  <c r="I16" i="10"/>
  <c r="H16" i="10"/>
  <c r="G16" i="10"/>
  <c r="F16" i="10"/>
  <c r="E16" i="10"/>
  <c r="D16" i="10"/>
  <c r="O15" i="10"/>
  <c r="N15" i="10"/>
  <c r="M15" i="10"/>
  <c r="M28" i="10" s="1"/>
  <c r="M37" i="10" s="1"/>
  <c r="M103" i="10" s="1"/>
  <c r="L15" i="10"/>
  <c r="K15" i="10"/>
  <c r="J15" i="10"/>
  <c r="I15" i="10"/>
  <c r="H15" i="10"/>
  <c r="G15" i="10"/>
  <c r="F15" i="10"/>
  <c r="E15" i="10"/>
  <c r="D15" i="10"/>
  <c r="I9" i="9"/>
  <c r="H109" i="8"/>
  <c r="G109" i="8"/>
  <c r="I109" i="8" s="1"/>
  <c r="E109" i="8"/>
  <c r="I108" i="8"/>
  <c r="F108" i="8"/>
  <c r="H107" i="8"/>
  <c r="I107" i="8" s="1"/>
  <c r="G107" i="8"/>
  <c r="E107" i="8"/>
  <c r="D107" i="8"/>
  <c r="I103" i="8"/>
  <c r="H103" i="8"/>
  <c r="G103" i="8"/>
  <c r="E103" i="8"/>
  <c r="D103" i="8"/>
  <c r="F103" i="8" s="1"/>
  <c r="I102" i="8"/>
  <c r="F102" i="8"/>
  <c r="I101" i="8"/>
  <c r="F101" i="8"/>
  <c r="I100" i="8"/>
  <c r="F100" i="8"/>
  <c r="I99" i="8"/>
  <c r="F99" i="8"/>
  <c r="I93" i="8"/>
  <c r="H93" i="8"/>
  <c r="G93" i="8"/>
  <c r="F93" i="8"/>
  <c r="E93" i="8"/>
  <c r="D93" i="8"/>
  <c r="I92" i="8"/>
  <c r="F92" i="8"/>
  <c r="I91" i="8"/>
  <c r="F91" i="8"/>
  <c r="I90" i="8"/>
  <c r="F90" i="8"/>
  <c r="I89" i="8"/>
  <c r="F89" i="8"/>
  <c r="I88" i="8"/>
  <c r="F88" i="8"/>
  <c r="I87" i="8"/>
  <c r="F87" i="8"/>
  <c r="I86" i="8"/>
  <c r="F86" i="8"/>
  <c r="I85" i="8"/>
  <c r="H85" i="8"/>
  <c r="G85" i="8"/>
  <c r="E85" i="8"/>
  <c r="F85" i="8" s="1"/>
  <c r="D85" i="8"/>
  <c r="I84" i="8"/>
  <c r="F84" i="8"/>
  <c r="H83" i="8"/>
  <c r="G83" i="8"/>
  <c r="I83" i="8" s="1"/>
  <c r="F83" i="8"/>
  <c r="E83" i="8"/>
  <c r="D83" i="8"/>
  <c r="H82" i="8"/>
  <c r="G82" i="8"/>
  <c r="I82" i="8" s="1"/>
  <c r="E82" i="8"/>
  <c r="F82" i="8" s="1"/>
  <c r="D82" i="8"/>
  <c r="I81" i="8"/>
  <c r="H81" i="8"/>
  <c r="G81" i="8"/>
  <c r="E81" i="8"/>
  <c r="D81" i="8"/>
  <c r="F81" i="8" s="1"/>
  <c r="I80" i="8"/>
  <c r="F80" i="8"/>
  <c r="I79" i="8"/>
  <c r="H79" i="8"/>
  <c r="G79" i="8"/>
  <c r="F79" i="8"/>
  <c r="E79" i="8"/>
  <c r="D79" i="8"/>
  <c r="I78" i="8"/>
  <c r="F78" i="8"/>
  <c r="I77" i="8"/>
  <c r="F77" i="8"/>
  <c r="I76" i="8"/>
  <c r="F76" i="8"/>
  <c r="H75" i="8"/>
  <c r="G75" i="8"/>
  <c r="I75" i="8" s="1"/>
  <c r="F75" i="8"/>
  <c r="E75" i="8"/>
  <c r="D75" i="8"/>
  <c r="I74" i="8"/>
  <c r="F74" i="8"/>
  <c r="I73" i="8"/>
  <c r="F73" i="8"/>
  <c r="I72" i="8"/>
  <c r="F72" i="8"/>
  <c r="I71" i="8"/>
  <c r="H71" i="8"/>
  <c r="G71" i="8"/>
  <c r="E71" i="8"/>
  <c r="D71" i="8"/>
  <c r="F71" i="8" s="1"/>
  <c r="I70" i="8"/>
  <c r="F70" i="8"/>
  <c r="I69" i="8"/>
  <c r="F69" i="8"/>
  <c r="I68" i="8"/>
  <c r="F68" i="8"/>
  <c r="H67" i="8"/>
  <c r="I67" i="8" s="1"/>
  <c r="G67" i="8"/>
  <c r="E67" i="8"/>
  <c r="F67" i="8" s="1"/>
  <c r="D67" i="8"/>
  <c r="I66" i="8"/>
  <c r="F66" i="8"/>
  <c r="I65" i="8"/>
  <c r="F65" i="8"/>
  <c r="I64" i="8"/>
  <c r="F64" i="8"/>
  <c r="I63" i="8"/>
  <c r="F63" i="8"/>
  <c r="I62" i="8"/>
  <c r="F62" i="8"/>
  <c r="H61" i="8"/>
  <c r="G61" i="8"/>
  <c r="I61" i="8" s="1"/>
  <c r="E61" i="8"/>
  <c r="F61" i="8" s="1"/>
  <c r="D61" i="8"/>
  <c r="I60" i="8"/>
  <c r="F60" i="8"/>
  <c r="I59" i="8"/>
  <c r="F59" i="8"/>
  <c r="I58" i="8"/>
  <c r="F58" i="8"/>
  <c r="I57" i="8"/>
  <c r="F57" i="8"/>
  <c r="H56" i="8"/>
  <c r="G56" i="8"/>
  <c r="I56" i="8" s="1"/>
  <c r="E56" i="8"/>
  <c r="F56" i="8" s="1"/>
  <c r="D56" i="8"/>
  <c r="I55" i="8"/>
  <c r="F55" i="8"/>
  <c r="I54" i="8"/>
  <c r="F54" i="8"/>
  <c r="H53" i="8"/>
  <c r="G53" i="8"/>
  <c r="I53" i="8" s="1"/>
  <c r="F53" i="8"/>
  <c r="E53" i="8"/>
  <c r="D53" i="8"/>
  <c r="I52" i="8"/>
  <c r="F52" i="8"/>
  <c r="I51" i="8"/>
  <c r="F51" i="8"/>
  <c r="I50" i="8"/>
  <c r="H50" i="8"/>
  <c r="G50" i="8"/>
  <c r="E50" i="8"/>
  <c r="D50" i="8"/>
  <c r="F50" i="8" s="1"/>
  <c r="H49" i="8"/>
  <c r="G49" i="8"/>
  <c r="E49" i="8"/>
  <c r="D49" i="8"/>
  <c r="D95" i="8" s="1"/>
  <c r="I48" i="8"/>
  <c r="F48" i="8"/>
  <c r="I47" i="8"/>
  <c r="F47" i="8"/>
  <c r="I46" i="8"/>
  <c r="F46" i="8"/>
  <c r="I45" i="8"/>
  <c r="F45" i="8"/>
  <c r="I44" i="8"/>
  <c r="F44" i="8"/>
  <c r="I43" i="8"/>
  <c r="F43" i="8"/>
  <c r="I42" i="8"/>
  <c r="F42" i="8"/>
  <c r="I41" i="8"/>
  <c r="F41" i="8"/>
  <c r="I37" i="8"/>
  <c r="H37" i="8"/>
  <c r="G37" i="8"/>
  <c r="E37" i="8"/>
  <c r="D37" i="8"/>
  <c r="F37" i="8" s="1"/>
  <c r="I36" i="8"/>
  <c r="F36" i="8"/>
  <c r="I35" i="8"/>
  <c r="F35" i="8"/>
  <c r="I34" i="8"/>
  <c r="F34" i="8"/>
  <c r="I33" i="8"/>
  <c r="F33" i="8"/>
  <c r="I32" i="8"/>
  <c r="F32" i="8"/>
  <c r="I31" i="8"/>
  <c r="F31" i="8"/>
  <c r="I29" i="8"/>
  <c r="H29" i="8"/>
  <c r="G29" i="8"/>
  <c r="E29" i="8"/>
  <c r="D29" i="8"/>
  <c r="D30" i="8" s="1"/>
  <c r="I28" i="8"/>
  <c r="H28" i="8"/>
  <c r="G28" i="8"/>
  <c r="E28" i="8"/>
  <c r="D28" i="8"/>
  <c r="F28" i="8" s="1"/>
  <c r="H27" i="8"/>
  <c r="G27" i="8"/>
  <c r="I27" i="8" s="1"/>
  <c r="E27" i="8"/>
  <c r="F27" i="8" s="1"/>
  <c r="D27" i="8"/>
  <c r="H26" i="8"/>
  <c r="G26" i="8"/>
  <c r="I26" i="8" s="1"/>
  <c r="E26" i="8"/>
  <c r="F26" i="8" s="1"/>
  <c r="D26" i="8"/>
  <c r="I25" i="8"/>
  <c r="H25" i="8"/>
  <c r="G25" i="8"/>
  <c r="E25" i="8"/>
  <c r="D25" i="8"/>
  <c r="F25" i="8" s="1"/>
  <c r="H24" i="8"/>
  <c r="G24" i="8"/>
  <c r="I24" i="8" s="1"/>
  <c r="E24" i="8"/>
  <c r="D24" i="8"/>
  <c r="F24" i="8" s="1"/>
  <c r="H23" i="8"/>
  <c r="I23" i="8" s="1"/>
  <c r="G23" i="8"/>
  <c r="E23" i="8"/>
  <c r="F23" i="8" s="1"/>
  <c r="D23" i="8"/>
  <c r="H22" i="8"/>
  <c r="I22" i="8" s="1"/>
  <c r="G22" i="8"/>
  <c r="E22" i="8"/>
  <c r="D22" i="8"/>
  <c r="F22" i="8" s="1"/>
  <c r="I21" i="8"/>
  <c r="H21" i="8"/>
  <c r="G21" i="8"/>
  <c r="E21" i="8"/>
  <c r="D21" i="8"/>
  <c r="F21" i="8" s="1"/>
  <c r="I20" i="8"/>
  <c r="H20" i="8"/>
  <c r="G20" i="8"/>
  <c r="E20" i="8"/>
  <c r="D20" i="8"/>
  <c r="F20" i="8" s="1"/>
  <c r="H19" i="8"/>
  <c r="G19" i="8"/>
  <c r="I19" i="8" s="1"/>
  <c r="E19" i="8"/>
  <c r="F19" i="8" s="1"/>
  <c r="D19" i="8"/>
  <c r="H18" i="8"/>
  <c r="G18" i="8"/>
  <c r="E18" i="8"/>
  <c r="F18" i="8" s="1"/>
  <c r="D18" i="8"/>
  <c r="I17" i="8"/>
  <c r="H17" i="8"/>
  <c r="G17" i="8"/>
  <c r="E17" i="8"/>
  <c r="D17" i="8"/>
  <c r="F17" i="8" s="1"/>
  <c r="H16" i="8"/>
  <c r="G16" i="8"/>
  <c r="E16" i="8"/>
  <c r="D16" i="8"/>
  <c r="F16" i="8" s="1"/>
  <c r="I9" i="8"/>
  <c r="I65" i="7"/>
  <c r="H8" i="7"/>
  <c r="G111" i="6"/>
  <c r="F111" i="6"/>
  <c r="T104" i="6"/>
  <c r="H100" i="6"/>
  <c r="F100" i="6"/>
  <c r="Q98" i="6"/>
  <c r="P98" i="6"/>
  <c r="O98" i="6"/>
  <c r="N98" i="6"/>
  <c r="M98" i="6"/>
  <c r="L98" i="6"/>
  <c r="K98" i="6"/>
  <c r="K100" i="6" s="1"/>
  <c r="J98" i="6"/>
  <c r="I98" i="6"/>
  <c r="H98" i="6"/>
  <c r="G98" i="6"/>
  <c r="F98" i="6"/>
  <c r="D98" i="6"/>
  <c r="R97" i="6"/>
  <c r="S97" i="6" s="1"/>
  <c r="R96" i="6"/>
  <c r="S96" i="6" s="1"/>
  <c r="R95" i="6"/>
  <c r="S95" i="6" s="1"/>
  <c r="R94" i="6"/>
  <c r="S94" i="6" s="1"/>
  <c r="R93" i="6"/>
  <c r="S93" i="6" s="1"/>
  <c r="R92" i="6"/>
  <c r="S92" i="6" s="1"/>
  <c r="R91" i="6"/>
  <c r="S91" i="6" s="1"/>
  <c r="R90" i="6"/>
  <c r="S90" i="6" s="1"/>
  <c r="R89" i="6"/>
  <c r="S89" i="6" s="1"/>
  <c r="R88" i="6"/>
  <c r="S88" i="6" s="1"/>
  <c r="R87" i="6"/>
  <c r="S87" i="6" s="1"/>
  <c r="R86" i="6"/>
  <c r="S86" i="6" s="1"/>
  <c r="R85" i="6"/>
  <c r="S85" i="6" s="1"/>
  <c r="R84" i="6"/>
  <c r="S84" i="6" s="1"/>
  <c r="R83" i="6"/>
  <c r="S83" i="6" s="1"/>
  <c r="R82" i="6"/>
  <c r="S82" i="6" s="1"/>
  <c r="R81" i="6"/>
  <c r="S81" i="6" s="1"/>
  <c r="R80" i="6"/>
  <c r="S80" i="6" s="1"/>
  <c r="R79" i="6"/>
  <c r="R78" i="6"/>
  <c r="S78" i="6" s="1"/>
  <c r="Q78" i="6"/>
  <c r="P78" i="6"/>
  <c r="O78" i="6"/>
  <c r="N78" i="6"/>
  <c r="M78" i="6"/>
  <c r="L78" i="6"/>
  <c r="K78" i="6"/>
  <c r="J78" i="6"/>
  <c r="J100" i="6" s="1"/>
  <c r="I78" i="6"/>
  <c r="H78" i="6"/>
  <c r="G78" i="6"/>
  <c r="F78" i="6"/>
  <c r="D78" i="6"/>
  <c r="R77" i="6"/>
  <c r="Q77" i="6"/>
  <c r="P77" i="6"/>
  <c r="O77" i="6"/>
  <c r="N77" i="6"/>
  <c r="N100" i="6" s="1"/>
  <c r="M77" i="6"/>
  <c r="L77" i="6"/>
  <c r="K77" i="6"/>
  <c r="J77" i="6"/>
  <c r="I77" i="6"/>
  <c r="I100" i="6" s="1"/>
  <c r="H77" i="6"/>
  <c r="G77" i="6"/>
  <c r="G100" i="6" s="1"/>
  <c r="F77" i="6"/>
  <c r="D77" i="6"/>
  <c r="D100" i="6" s="1"/>
  <c r="R72" i="6"/>
  <c r="S72" i="6" s="1"/>
  <c r="Q71" i="6"/>
  <c r="P71" i="6"/>
  <c r="O71" i="6"/>
  <c r="N71" i="6"/>
  <c r="M71" i="6"/>
  <c r="L71" i="6"/>
  <c r="K71" i="6"/>
  <c r="J71" i="6"/>
  <c r="I71" i="6"/>
  <c r="H71" i="6"/>
  <c r="H74" i="6" s="1"/>
  <c r="G71" i="6"/>
  <c r="F71" i="6"/>
  <c r="D71" i="6"/>
  <c r="R70" i="6"/>
  <c r="S70" i="6" s="1"/>
  <c r="Q69" i="6"/>
  <c r="P69" i="6"/>
  <c r="O69" i="6"/>
  <c r="N69" i="6"/>
  <c r="M69" i="6"/>
  <c r="L69" i="6"/>
  <c r="K69" i="6"/>
  <c r="J69" i="6"/>
  <c r="J74" i="6" s="1"/>
  <c r="I69" i="6"/>
  <c r="H69" i="6"/>
  <c r="G69" i="6"/>
  <c r="F69" i="6"/>
  <c r="D69" i="6"/>
  <c r="R68" i="6"/>
  <c r="S68" i="6" s="1"/>
  <c r="Q58" i="6"/>
  <c r="Q111" i="6" s="1"/>
  <c r="P58" i="6"/>
  <c r="P111" i="6" s="1"/>
  <c r="O58" i="6"/>
  <c r="N58" i="6"/>
  <c r="N111" i="6" s="1"/>
  <c r="M58" i="6"/>
  <c r="M111" i="6" s="1"/>
  <c r="L58" i="6"/>
  <c r="L111" i="6" s="1"/>
  <c r="K58" i="6"/>
  <c r="K111" i="6" s="1"/>
  <c r="J58" i="6"/>
  <c r="J111" i="6" s="1"/>
  <c r="I58" i="6"/>
  <c r="H58" i="6"/>
  <c r="G58" i="6"/>
  <c r="F58" i="6"/>
  <c r="D58" i="6"/>
  <c r="D114" i="6" s="1"/>
  <c r="E114" i="6" s="1"/>
  <c r="R57" i="6"/>
  <c r="S57" i="6" s="1"/>
  <c r="R56" i="6"/>
  <c r="S56" i="6" s="1"/>
  <c r="R55" i="6"/>
  <c r="S55" i="6" s="1"/>
  <c r="R54" i="6"/>
  <c r="S54" i="6" s="1"/>
  <c r="Q53" i="6"/>
  <c r="P53" i="6"/>
  <c r="O53" i="6"/>
  <c r="N53" i="6"/>
  <c r="M53" i="6"/>
  <c r="L53" i="6"/>
  <c r="K53" i="6"/>
  <c r="J53" i="6"/>
  <c r="I53" i="6"/>
  <c r="H53" i="6"/>
  <c r="G53" i="6"/>
  <c r="F53" i="6"/>
  <c r="D53" i="6"/>
  <c r="R52" i="6"/>
  <c r="S52" i="6" s="1"/>
  <c r="R51" i="6"/>
  <c r="S51" i="6" s="1"/>
  <c r="R50" i="6"/>
  <c r="R53" i="6" s="1"/>
  <c r="S53" i="6" s="1"/>
  <c r="Q49" i="6"/>
  <c r="P49" i="6"/>
  <c r="O49" i="6"/>
  <c r="N49" i="6"/>
  <c r="M49" i="6"/>
  <c r="L49" i="6"/>
  <c r="K49" i="6"/>
  <c r="J49" i="6"/>
  <c r="I49" i="6"/>
  <c r="H49" i="6"/>
  <c r="G49" i="6"/>
  <c r="F49" i="6"/>
  <c r="D49" i="6"/>
  <c r="R48" i="6"/>
  <c r="S48" i="6" s="1"/>
  <c r="R47" i="6"/>
  <c r="S47" i="6" s="1"/>
  <c r="R46" i="6"/>
  <c r="S46" i="6" s="1"/>
  <c r="Q45" i="6"/>
  <c r="P45" i="6"/>
  <c r="O45" i="6"/>
  <c r="O60" i="6" s="1"/>
  <c r="N45" i="6"/>
  <c r="M45" i="6"/>
  <c r="L45" i="6"/>
  <c r="K45" i="6"/>
  <c r="J45" i="6"/>
  <c r="I45" i="6"/>
  <c r="H45" i="6"/>
  <c r="G45" i="6"/>
  <c r="F45" i="6"/>
  <c r="D45" i="6"/>
  <c r="R44" i="6"/>
  <c r="S44" i="6" s="1"/>
  <c r="R43" i="6"/>
  <c r="S43" i="6" s="1"/>
  <c r="J40" i="6"/>
  <c r="D40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D38" i="6"/>
  <c r="Q37" i="6"/>
  <c r="P37" i="6"/>
  <c r="O37" i="6"/>
  <c r="O40" i="6" s="1"/>
  <c r="N37" i="6"/>
  <c r="M37" i="6"/>
  <c r="M40" i="6" s="1"/>
  <c r="L37" i="6"/>
  <c r="K37" i="6"/>
  <c r="J37" i="6"/>
  <c r="I37" i="6"/>
  <c r="H37" i="6"/>
  <c r="G37" i="6"/>
  <c r="F37" i="6"/>
  <c r="D37" i="6"/>
  <c r="R36" i="6"/>
  <c r="S36" i="6" s="1"/>
  <c r="R35" i="6"/>
  <c r="S35" i="6" s="1"/>
  <c r="R34" i="6"/>
  <c r="S34" i="6" s="1"/>
  <c r="R33" i="6"/>
  <c r="S33" i="6" s="1"/>
  <c r="R32" i="6"/>
  <c r="S32" i="6" s="1"/>
  <c r="R31" i="6"/>
  <c r="S31" i="6" s="1"/>
  <c r="S30" i="6"/>
  <c r="R30" i="6"/>
  <c r="R29" i="6"/>
  <c r="S29" i="6" s="1"/>
  <c r="R28" i="6"/>
  <c r="S28" i="6" s="1"/>
  <c r="R27" i="6"/>
  <c r="S27" i="6" s="1"/>
  <c r="R26" i="6"/>
  <c r="S26" i="6" s="1"/>
  <c r="R25" i="6"/>
  <c r="S25" i="6" s="1"/>
  <c r="R24" i="6"/>
  <c r="S24" i="6" s="1"/>
  <c r="R23" i="6"/>
  <c r="S23" i="6" s="1"/>
  <c r="R22" i="6"/>
  <c r="S22" i="6" s="1"/>
  <c r="R21" i="6"/>
  <c r="S21" i="6" s="1"/>
  <c r="R20" i="6"/>
  <c r="S20" i="6" s="1"/>
  <c r="R19" i="6"/>
  <c r="R18" i="6"/>
  <c r="S18" i="6" s="1"/>
  <c r="Q18" i="6"/>
  <c r="Q40" i="6" s="1"/>
  <c r="P18" i="6"/>
  <c r="P40" i="6" s="1"/>
  <c r="O18" i="6"/>
  <c r="N18" i="6"/>
  <c r="M18" i="6"/>
  <c r="L18" i="6"/>
  <c r="K18" i="6"/>
  <c r="J18" i="6"/>
  <c r="I18" i="6"/>
  <c r="H18" i="6"/>
  <c r="H40" i="6" s="1"/>
  <c r="G18" i="6"/>
  <c r="G40" i="6" s="1"/>
  <c r="F18" i="6"/>
  <c r="F40" i="6" s="1"/>
  <c r="D18" i="6"/>
  <c r="S8" i="6"/>
  <c r="C11" i="4"/>
  <c r="C11" i="3"/>
  <c r="C8" i="3"/>
  <c r="F14" i="17"/>
  <c r="G13" i="15"/>
  <c r="E13" i="13"/>
  <c r="F58" i="11"/>
  <c r="D53" i="11"/>
  <c r="C48" i="11"/>
  <c r="F45" i="11"/>
  <c r="F42" i="11"/>
  <c r="C40" i="11"/>
  <c r="F37" i="11"/>
  <c r="F34" i="11"/>
  <c r="F29" i="11"/>
  <c r="F26" i="11"/>
  <c r="C24" i="11"/>
  <c r="F20" i="11"/>
  <c r="D16" i="11"/>
  <c r="D61" i="9"/>
  <c r="G56" i="9"/>
  <c r="D50" i="9"/>
  <c r="B47" i="9"/>
  <c r="G43" i="9"/>
  <c r="G40" i="9"/>
  <c r="D37" i="9"/>
  <c r="G32" i="9"/>
  <c r="D29" i="9"/>
  <c r="G24" i="9"/>
  <c r="G16" i="9"/>
  <c r="D59" i="7"/>
  <c r="D57" i="7"/>
  <c r="D49" i="7"/>
  <c r="B45" i="7"/>
  <c r="B30" i="7"/>
  <c r="B22" i="7"/>
  <c r="B18" i="7"/>
  <c r="G17" i="9"/>
  <c r="G47" i="7"/>
  <c r="C8" i="7"/>
  <c r="D14" i="17"/>
  <c r="F13" i="15"/>
  <c r="B2" i="15"/>
  <c r="D13" i="13"/>
  <c r="F62" i="11"/>
  <c r="D58" i="11"/>
  <c r="C53" i="11"/>
  <c r="B48" i="11"/>
  <c r="D45" i="11"/>
  <c r="D42" i="11"/>
  <c r="B40" i="11"/>
  <c r="D37" i="11"/>
  <c r="D34" i="11"/>
  <c r="B32" i="11"/>
  <c r="D29" i="11"/>
  <c r="D26" i="11"/>
  <c r="B24" i="11"/>
  <c r="F18" i="11"/>
  <c r="F15" i="11"/>
  <c r="E62" i="9"/>
  <c r="C61" i="9"/>
  <c r="E56" i="9"/>
  <c r="H49" i="9"/>
  <c r="E48" i="9"/>
  <c r="H46" i="9"/>
  <c r="C45" i="9"/>
  <c r="E43" i="9"/>
  <c r="H41" i="9"/>
  <c r="E40" i="9"/>
  <c r="H38" i="9"/>
  <c r="C37" i="9"/>
  <c r="E35" i="9"/>
  <c r="H33" i="9"/>
  <c r="E32" i="9"/>
  <c r="H30" i="9"/>
  <c r="C29" i="9"/>
  <c r="E27" i="9"/>
  <c r="H25" i="9"/>
  <c r="E24" i="9"/>
  <c r="H19" i="9"/>
  <c r="C18" i="9"/>
  <c r="E16" i="9"/>
  <c r="B2" i="9"/>
  <c r="D77" i="7"/>
  <c r="G58" i="7"/>
  <c r="G56" i="7"/>
  <c r="G54" i="7"/>
  <c r="G48" i="7"/>
  <c r="G46" i="7"/>
  <c r="G35" i="7"/>
  <c r="G33" i="7"/>
  <c r="G31" i="7"/>
  <c r="G29" i="7"/>
  <c r="G23" i="7"/>
  <c r="G21" i="7"/>
  <c r="G19" i="7"/>
  <c r="H11" i="7"/>
  <c r="D6" i="2"/>
  <c r="F59" i="11"/>
  <c r="D49" i="9"/>
  <c r="B43" i="9"/>
  <c r="D38" i="9"/>
  <c r="B35" i="9"/>
  <c r="D30" i="9"/>
  <c r="D25" i="9"/>
  <c r="B16" i="9"/>
  <c r="C58" i="7"/>
  <c r="G45" i="7"/>
  <c r="G28" i="7"/>
  <c r="G18" i="7"/>
  <c r="A14" i="17"/>
  <c r="E13" i="15"/>
  <c r="C13" i="13"/>
  <c r="F60" i="11"/>
  <c r="C58" i="11"/>
  <c r="B53" i="11"/>
  <c r="F47" i="11"/>
  <c r="F44" i="11"/>
  <c r="C42" i="11"/>
  <c r="F39" i="11"/>
  <c r="F36" i="11"/>
  <c r="C34" i="11"/>
  <c r="F31" i="11"/>
  <c r="F28" i="11"/>
  <c r="C26" i="11"/>
  <c r="F23" i="11"/>
  <c r="D18" i="11"/>
  <c r="D15" i="11"/>
  <c r="D62" i="9"/>
  <c r="B61" i="9"/>
  <c r="D56" i="9"/>
  <c r="G49" i="9"/>
  <c r="D48" i="9"/>
  <c r="G46" i="9"/>
  <c r="B45" i="9"/>
  <c r="D43" i="9"/>
  <c r="G41" i="9"/>
  <c r="D40" i="9"/>
  <c r="G38" i="9"/>
  <c r="B37" i="9"/>
  <c r="D35" i="9"/>
  <c r="G33" i="9"/>
  <c r="D32" i="9"/>
  <c r="G30" i="9"/>
  <c r="B29" i="9"/>
  <c r="D27" i="9"/>
  <c r="G25" i="9"/>
  <c r="D24" i="9"/>
  <c r="G19" i="9"/>
  <c r="B18" i="9"/>
  <c r="D16" i="9"/>
  <c r="D76" i="7"/>
  <c r="F58" i="7"/>
  <c r="F56" i="7"/>
  <c r="F54" i="7"/>
  <c r="F48" i="7"/>
  <c r="F46" i="7"/>
  <c r="F35" i="7"/>
  <c r="F33" i="7"/>
  <c r="F31" i="7"/>
  <c r="F29" i="7"/>
  <c r="F23" i="7"/>
  <c r="F21" i="7"/>
  <c r="F19" i="7"/>
  <c r="F11" i="7"/>
  <c r="C12" i="13"/>
  <c r="F56" i="11"/>
  <c r="F49" i="11"/>
  <c r="F46" i="11"/>
  <c r="C44" i="11"/>
  <c r="F41" i="11"/>
  <c r="F38" i="11"/>
  <c r="C36" i="11"/>
  <c r="F33" i="11"/>
  <c r="F30" i="11"/>
  <c r="C28" i="11"/>
  <c r="F25" i="11"/>
  <c r="F22" i="11"/>
  <c r="D17" i="11"/>
  <c r="B15" i="11"/>
  <c r="G63" i="9"/>
  <c r="B62" i="9"/>
  <c r="G57" i="9"/>
  <c r="B56" i="9"/>
  <c r="G47" i="9"/>
  <c r="D46" i="9"/>
  <c r="G44" i="9"/>
  <c r="D41" i="9"/>
  <c r="G39" i="9"/>
  <c r="G36" i="9"/>
  <c r="D33" i="9"/>
  <c r="G31" i="9"/>
  <c r="G28" i="9"/>
  <c r="B27" i="9"/>
  <c r="G23" i="9"/>
  <c r="D74" i="7"/>
  <c r="C54" i="7"/>
  <c r="G34" i="7"/>
  <c r="G30" i="7"/>
  <c r="G22" i="7"/>
  <c r="F12" i="17"/>
  <c r="D13" i="15"/>
  <c r="G12" i="13"/>
  <c r="D60" i="11"/>
  <c r="B58" i="11"/>
  <c r="F51" i="11"/>
  <c r="D47" i="11"/>
  <c r="D44" i="11"/>
  <c r="B42" i="11"/>
  <c r="D39" i="11"/>
  <c r="D36" i="11"/>
  <c r="B34" i="11"/>
  <c r="D31" i="11"/>
  <c r="D28" i="11"/>
  <c r="B26" i="11"/>
  <c r="D23" i="11"/>
  <c r="F17" i="11"/>
  <c r="C15" i="11"/>
  <c r="H63" i="9"/>
  <c r="C62" i="9"/>
  <c r="H57" i="9"/>
  <c r="C56" i="9"/>
  <c r="E49" i="9"/>
  <c r="H47" i="9"/>
  <c r="E46" i="9"/>
  <c r="H44" i="9"/>
  <c r="C43" i="9"/>
  <c r="E41" i="9"/>
  <c r="H39" i="9"/>
  <c r="E38" i="9"/>
  <c r="H36" i="9"/>
  <c r="C35" i="9"/>
  <c r="E33" i="9"/>
  <c r="H31" i="9"/>
  <c r="E30" i="9"/>
  <c r="H28" i="9"/>
  <c r="C27" i="9"/>
  <c r="E25" i="9"/>
  <c r="H23" i="9"/>
  <c r="E19" i="9"/>
  <c r="H17" i="9"/>
  <c r="C16" i="9"/>
  <c r="D75" i="7"/>
  <c r="D58" i="7"/>
  <c r="D56" i="7"/>
  <c r="D54" i="7"/>
  <c r="D48" i="7"/>
  <c r="D46" i="7"/>
  <c r="D35" i="7"/>
  <c r="D33" i="7"/>
  <c r="D31" i="7"/>
  <c r="D29" i="7"/>
  <c r="D23" i="7"/>
  <c r="D21" i="7"/>
  <c r="D19" i="7"/>
  <c r="D12" i="17"/>
  <c r="C13" i="15"/>
  <c r="H12" i="15"/>
  <c r="G15" i="13"/>
  <c r="B12" i="13"/>
  <c r="D59" i="11"/>
  <c r="F54" i="11"/>
  <c r="D49" i="11"/>
  <c r="D46" i="11"/>
  <c r="B44" i="11"/>
  <c r="D41" i="11"/>
  <c r="D38" i="11"/>
  <c r="B36" i="11"/>
  <c r="D33" i="11"/>
  <c r="D30" i="11"/>
  <c r="B28" i="11"/>
  <c r="D25" i="11"/>
  <c r="D22" i="11"/>
  <c r="C17" i="11"/>
  <c r="D11" i="11"/>
  <c r="E63" i="9"/>
  <c r="H61" i="9"/>
  <c r="E57" i="9"/>
  <c r="H50" i="9"/>
  <c r="C49" i="9"/>
  <c r="E47" i="9"/>
  <c r="H45" i="9"/>
  <c r="E44" i="9"/>
  <c r="H42" i="9"/>
  <c r="C41" i="9"/>
  <c r="E39" i="9"/>
  <c r="H37" i="9"/>
  <c r="E36" i="9"/>
  <c r="H34" i="9"/>
  <c r="C33" i="9"/>
  <c r="E31" i="9"/>
  <c r="H29" i="9"/>
  <c r="E28" i="9"/>
  <c r="H26" i="9"/>
  <c r="C25" i="9"/>
  <c r="E23" i="9"/>
  <c r="H18" i="9"/>
  <c r="E17" i="9"/>
  <c r="E12" i="9"/>
  <c r="B58" i="7"/>
  <c r="B56" i="7"/>
  <c r="B54" i="7"/>
  <c r="F47" i="7"/>
  <c r="F45" i="7"/>
  <c r="F34" i="7"/>
  <c r="F32" i="7"/>
  <c r="F30" i="7"/>
  <c r="F28" i="7"/>
  <c r="F22" i="7"/>
  <c r="F20" i="7"/>
  <c r="F18" i="7"/>
  <c r="B2" i="7"/>
  <c r="C6" i="4"/>
  <c r="C59" i="11"/>
  <c r="D54" i="11"/>
  <c r="F48" i="11"/>
  <c r="C46" i="11"/>
  <c r="F43" i="11"/>
  <c r="F40" i="11"/>
  <c r="C38" i="11"/>
  <c r="F35" i="11"/>
  <c r="F32" i="11"/>
  <c r="C30" i="11"/>
  <c r="F27" i="11"/>
  <c r="F24" i="11"/>
  <c r="C22" i="11"/>
  <c r="B17" i="11"/>
  <c r="C8" i="11"/>
  <c r="D63" i="9"/>
  <c r="G61" i="9"/>
  <c r="D57" i="9"/>
  <c r="G50" i="9"/>
  <c r="B49" i="9"/>
  <c r="D47" i="9"/>
  <c r="G45" i="9"/>
  <c r="D44" i="9"/>
  <c r="G42" i="9"/>
  <c r="B41" i="9"/>
  <c r="D39" i="9"/>
  <c r="G37" i="9"/>
  <c r="D36" i="9"/>
  <c r="G34" i="9"/>
  <c r="B33" i="9"/>
  <c r="D31" i="9"/>
  <c r="G29" i="9"/>
  <c r="D28" i="9"/>
  <c r="G26" i="9"/>
  <c r="B25" i="9"/>
  <c r="D23" i="9"/>
  <c r="G18" i="9"/>
  <c r="D17" i="9"/>
  <c r="D12" i="9"/>
  <c r="G59" i="7"/>
  <c r="G57" i="7"/>
  <c r="G55" i="7"/>
  <c r="G49" i="7"/>
  <c r="D47" i="7"/>
  <c r="D45" i="7"/>
  <c r="D34" i="7"/>
  <c r="D32" i="7"/>
  <c r="D30" i="7"/>
  <c r="D28" i="7"/>
  <c r="D22" i="7"/>
  <c r="D20" i="7"/>
  <c r="D18" i="7"/>
  <c r="H15" i="15"/>
  <c r="C12" i="15"/>
  <c r="G13" i="13"/>
  <c r="H13" i="15"/>
  <c r="B12" i="15"/>
  <c r="F13" i="13"/>
  <c r="B2" i="13"/>
  <c r="B59" i="11"/>
  <c r="F53" i="11"/>
  <c r="D48" i="11"/>
  <c r="B46" i="11"/>
  <c r="D43" i="11"/>
  <c r="D40" i="11"/>
  <c r="B38" i="11"/>
  <c r="D35" i="11"/>
  <c r="D32" i="11"/>
  <c r="B30" i="11"/>
  <c r="D27" i="11"/>
  <c r="D24" i="11"/>
  <c r="B22" i="11"/>
  <c r="F16" i="11"/>
  <c r="B2" i="11"/>
  <c r="H62" i="9"/>
  <c r="E61" i="9"/>
  <c r="H56" i="9"/>
  <c r="E50" i="9"/>
  <c r="H48" i="9"/>
  <c r="C47" i="9"/>
  <c r="E45" i="9"/>
  <c r="H43" i="9"/>
  <c r="E42" i="9"/>
  <c r="H40" i="9"/>
  <c r="C39" i="9"/>
  <c r="E37" i="9"/>
  <c r="H35" i="9"/>
  <c r="E34" i="9"/>
  <c r="H32" i="9"/>
  <c r="C31" i="9"/>
  <c r="E29" i="9"/>
  <c r="H27" i="9"/>
  <c r="E26" i="9"/>
  <c r="H24" i="9"/>
  <c r="C23" i="9"/>
  <c r="E18" i="9"/>
  <c r="H16" i="9"/>
  <c r="F59" i="7"/>
  <c r="F57" i="7"/>
  <c r="F55" i="7"/>
  <c r="F49" i="7"/>
  <c r="C47" i="7"/>
  <c r="C45" i="7"/>
  <c r="C34" i="7"/>
  <c r="C32" i="7"/>
  <c r="C30" i="7"/>
  <c r="C28" i="7"/>
  <c r="C22" i="7"/>
  <c r="C20" i="7"/>
  <c r="C18" i="7"/>
  <c r="C32" i="11"/>
  <c r="G62" i="9"/>
  <c r="G48" i="9"/>
  <c r="D45" i="9"/>
  <c r="D42" i="9"/>
  <c r="B39" i="9"/>
  <c r="G35" i="9"/>
  <c r="D34" i="9"/>
  <c r="B31" i="9"/>
  <c r="G27" i="9"/>
  <c r="D26" i="9"/>
  <c r="B23" i="9"/>
  <c r="D18" i="9"/>
  <c r="C9" i="9"/>
  <c r="D55" i="7"/>
  <c r="B47" i="7"/>
  <c r="B34" i="7"/>
  <c r="B32" i="7"/>
  <c r="B28" i="7"/>
  <c r="B20" i="7"/>
  <c r="D7" i="2"/>
  <c r="D19" i="9"/>
  <c r="C56" i="7"/>
  <c r="G32" i="7"/>
  <c r="G20" i="7"/>
  <c r="C8" i="4"/>
  <c r="D13" i="17" l="1"/>
  <c r="E75" i="7"/>
  <c r="E74" i="7"/>
  <c r="F72" i="7"/>
  <c r="E76" i="7"/>
  <c r="E77" i="7"/>
  <c r="D15" i="17"/>
  <c r="F49" i="8"/>
  <c r="O112" i="6"/>
  <c r="O100" i="6"/>
  <c r="O74" i="6"/>
  <c r="O109" i="6" s="1"/>
  <c r="Q74" i="6"/>
  <c r="Q109" i="6" s="1"/>
  <c r="P74" i="6"/>
  <c r="F74" i="6"/>
  <c r="R71" i="6"/>
  <c r="S71" i="6" s="1"/>
  <c r="D74" i="6"/>
  <c r="G74" i="6"/>
  <c r="G102" i="6" s="1"/>
  <c r="G110" i="6" s="1"/>
  <c r="I74" i="6"/>
  <c r="I109" i="6" s="1"/>
  <c r="K74" i="6"/>
  <c r="K109" i="6" s="1"/>
  <c r="L74" i="6"/>
  <c r="M74" i="6"/>
  <c r="M109" i="6" s="1"/>
  <c r="N74" i="6"/>
  <c r="N109" i="6" s="1"/>
  <c r="L100" i="6"/>
  <c r="P100" i="6"/>
  <c r="P102" i="6" s="1"/>
  <c r="Q100" i="6"/>
  <c r="S50" i="6"/>
  <c r="G60" i="6"/>
  <c r="G112" i="6" s="1"/>
  <c r="H60" i="6"/>
  <c r="H112" i="6" s="1"/>
  <c r="I60" i="6"/>
  <c r="I112" i="6" s="1"/>
  <c r="F114" i="6"/>
  <c r="G114" i="6" s="1"/>
  <c r="H114" i="6" s="1"/>
  <c r="I114" i="6" s="1"/>
  <c r="J114" i="6" s="1"/>
  <c r="K114" i="6" s="1"/>
  <c r="L114" i="6" s="1"/>
  <c r="M114" i="6" s="1"/>
  <c r="N114" i="6" s="1"/>
  <c r="O114" i="6" s="1"/>
  <c r="P114" i="6" s="1"/>
  <c r="Q114" i="6" s="1"/>
  <c r="L60" i="6"/>
  <c r="L112" i="6" s="1"/>
  <c r="I40" i="6"/>
  <c r="K40" i="6"/>
  <c r="F67" i="11"/>
  <c r="B6" i="11" s="1"/>
  <c r="F45" i="9"/>
  <c r="I48" i="9"/>
  <c r="I62" i="9"/>
  <c r="F69" i="11"/>
  <c r="D20" i="11"/>
  <c r="D67" i="11" s="1"/>
  <c r="F61" i="7"/>
  <c r="J60" i="6"/>
  <c r="J112" i="6" s="1"/>
  <c r="I38" i="9"/>
  <c r="F48" i="9"/>
  <c r="M60" i="6"/>
  <c r="M112" i="6" s="1"/>
  <c r="N60" i="6"/>
  <c r="N112" i="6" s="1"/>
  <c r="O62" i="6"/>
  <c r="F62" i="9"/>
  <c r="G62" i="6"/>
  <c r="H62" i="6"/>
  <c r="P60" i="6"/>
  <c r="P112" i="6" s="1"/>
  <c r="F60" i="6"/>
  <c r="F112" i="6" s="1"/>
  <c r="I23" i="9"/>
  <c r="F40" i="9"/>
  <c r="I49" i="9"/>
  <c r="H55" i="7"/>
  <c r="H59" i="7"/>
  <c r="I18" i="9"/>
  <c r="F28" i="9"/>
  <c r="F31" i="9"/>
  <c r="I34" i="9"/>
  <c r="I37" i="9"/>
  <c r="F36" i="9"/>
  <c r="I42" i="9"/>
  <c r="F57" i="9"/>
  <c r="F63" i="9"/>
  <c r="F24" i="9"/>
  <c r="I27" i="9"/>
  <c r="F37" i="9"/>
  <c r="I43" i="9"/>
  <c r="F50" i="9"/>
  <c r="H31" i="7"/>
  <c r="H48" i="7"/>
  <c r="H23" i="7"/>
  <c r="F19" i="9"/>
  <c r="F25" i="9"/>
  <c r="I31" i="9"/>
  <c r="F68" i="11"/>
  <c r="H28" i="7"/>
  <c r="H33" i="7"/>
  <c r="F17" i="9"/>
  <c r="F23" i="9"/>
  <c r="F71" i="11"/>
  <c r="H29" i="7"/>
  <c r="F51" i="7"/>
  <c r="F70" i="7" s="1"/>
  <c r="F44" i="9"/>
  <c r="I50" i="9"/>
  <c r="I61" i="9"/>
  <c r="I19" i="9"/>
  <c r="I25" i="9"/>
  <c r="F35" i="9"/>
  <c r="I44" i="9"/>
  <c r="I47" i="9"/>
  <c r="E21" i="9"/>
  <c r="E70" i="9" s="1"/>
  <c r="I46" i="9"/>
  <c r="D21" i="9"/>
  <c r="D70" i="9" s="1"/>
  <c r="B6" i="9" s="1"/>
  <c r="F26" i="9"/>
  <c r="F29" i="9"/>
  <c r="F61" i="9"/>
  <c r="G21" i="9"/>
  <c r="I26" i="9"/>
  <c r="I29" i="9"/>
  <c r="F42" i="9"/>
  <c r="H58" i="7"/>
  <c r="F70" i="11"/>
  <c r="D6" i="11" s="1"/>
  <c r="D61" i="7"/>
  <c r="H30" i="7"/>
  <c r="F18" i="9"/>
  <c r="F46" i="9"/>
  <c r="I63" i="9"/>
  <c r="H34" i="7"/>
  <c r="F34" i="9"/>
  <c r="F39" i="9"/>
  <c r="I39" i="9"/>
  <c r="F56" i="9"/>
  <c r="H47" i="7"/>
  <c r="I28" i="9"/>
  <c r="G25" i="7"/>
  <c r="I45" i="9"/>
  <c r="I56" i="9"/>
  <c r="G37" i="7"/>
  <c r="H56" i="7"/>
  <c r="H20" i="7"/>
  <c r="D37" i="7"/>
  <c r="F32" i="9"/>
  <c r="I40" i="9"/>
  <c r="H49" i="7"/>
  <c r="H52" i="9"/>
  <c r="D71" i="11"/>
  <c r="H32" i="7"/>
  <c r="I32" i="9"/>
  <c r="F49" i="9"/>
  <c r="I57" i="9"/>
  <c r="G61" i="7"/>
  <c r="I35" i="9"/>
  <c r="F41" i="9"/>
  <c r="H45" i="7"/>
  <c r="F37" i="7"/>
  <c r="F73" i="7" s="1"/>
  <c r="D51" i="7"/>
  <c r="F16" i="9"/>
  <c r="H74" i="9"/>
  <c r="F30" i="9"/>
  <c r="F33" i="9"/>
  <c r="I41" i="9"/>
  <c r="F47" i="9"/>
  <c r="H54" i="7"/>
  <c r="H18" i="7"/>
  <c r="G51" i="7"/>
  <c r="I16" i="9"/>
  <c r="I30" i="9"/>
  <c r="I33" i="9"/>
  <c r="I36" i="9"/>
  <c r="N102" i="6"/>
  <c r="J109" i="6"/>
  <c r="J102" i="6"/>
  <c r="P109" i="6"/>
  <c r="D39" i="8"/>
  <c r="D120" i="8"/>
  <c r="N103" i="10"/>
  <c r="N85" i="10"/>
  <c r="O107" i="10"/>
  <c r="O37" i="10"/>
  <c r="P62" i="6"/>
  <c r="L109" i="6"/>
  <c r="L102" i="6"/>
  <c r="K102" i="6"/>
  <c r="H95" i="8"/>
  <c r="Q25" i="10"/>
  <c r="I62" i="6"/>
  <c r="G52" i="9"/>
  <c r="G74" i="9"/>
  <c r="I24" i="9"/>
  <c r="F27" i="9"/>
  <c r="F38" i="9"/>
  <c r="Q21" i="10"/>
  <c r="G30" i="8"/>
  <c r="I16" i="8"/>
  <c r="O111" i="6"/>
  <c r="H35" i="7"/>
  <c r="H30" i="8"/>
  <c r="Q17" i="10"/>
  <c r="Q20" i="10"/>
  <c r="Q24" i="10"/>
  <c r="D28" i="10"/>
  <c r="Q35" i="10"/>
  <c r="Q72" i="10"/>
  <c r="F29" i="8"/>
  <c r="Q23" i="10"/>
  <c r="L40" i="6"/>
  <c r="L62" i="6" s="1"/>
  <c r="S38" i="6"/>
  <c r="J62" i="6"/>
  <c r="K60" i="6"/>
  <c r="R69" i="6"/>
  <c r="H46" i="7"/>
  <c r="Q15" i="10"/>
  <c r="F107" i="10"/>
  <c r="H21" i="7"/>
  <c r="D25" i="7"/>
  <c r="D109" i="8"/>
  <c r="F109" i="8" s="1"/>
  <c r="F107" i="8"/>
  <c r="R58" i="6"/>
  <c r="S58" i="6" s="1"/>
  <c r="H57" i="7"/>
  <c r="H21" i="9"/>
  <c r="F28" i="10"/>
  <c r="F37" i="10" s="1"/>
  <c r="O102" i="6"/>
  <c r="O110" i="6" s="1"/>
  <c r="M100" i="6"/>
  <c r="M102" i="6" s="1"/>
  <c r="D113" i="6"/>
  <c r="E113" i="6" s="1"/>
  <c r="F113" i="6" s="1"/>
  <c r="G113" i="6" s="1"/>
  <c r="D102" i="6"/>
  <c r="I17" i="9"/>
  <c r="G28" i="10"/>
  <c r="K28" i="10"/>
  <c r="K37" i="10" s="1"/>
  <c r="N40" i="6"/>
  <c r="N62" i="6" s="1"/>
  <c r="H102" i="6"/>
  <c r="H109" i="6"/>
  <c r="F102" i="6"/>
  <c r="F109" i="6"/>
  <c r="H28" i="10"/>
  <c r="M85" i="10"/>
  <c r="G109" i="6"/>
  <c r="I111" i="6"/>
  <c r="I28" i="10"/>
  <c r="I37" i="10" s="1"/>
  <c r="K107" i="10"/>
  <c r="Q75" i="10"/>
  <c r="Q60" i="6"/>
  <c r="Q112" i="6" s="1"/>
  <c r="H22" i="7"/>
  <c r="J28" i="10"/>
  <c r="Q22" i="10"/>
  <c r="Q54" i="10"/>
  <c r="R37" i="6"/>
  <c r="S37" i="6" s="1"/>
  <c r="S19" i="6"/>
  <c r="R45" i="6"/>
  <c r="S77" i="6"/>
  <c r="R98" i="6"/>
  <c r="R100" i="6" s="1"/>
  <c r="S100" i="6" s="1"/>
  <c r="M107" i="10"/>
  <c r="Q50" i="10"/>
  <c r="I18" i="8"/>
  <c r="E120" i="8"/>
  <c r="E95" i="8"/>
  <c r="F95" i="8" s="1"/>
  <c r="L28" i="10"/>
  <c r="L37" i="10" s="1"/>
  <c r="Q26" i="10"/>
  <c r="N107" i="10"/>
  <c r="E30" i="8"/>
  <c r="E39" i="8" s="1"/>
  <c r="H19" i="7"/>
  <c r="D52" i="9"/>
  <c r="D74" i="9"/>
  <c r="Q27" i="10"/>
  <c r="Q83" i="10"/>
  <c r="Q90" i="10"/>
  <c r="Q102" i="6"/>
  <c r="Q110" i="6" s="1"/>
  <c r="D60" i="6"/>
  <c r="F25" i="7"/>
  <c r="G120" i="8"/>
  <c r="E52" i="9"/>
  <c r="E74" i="9"/>
  <c r="F43" i="9"/>
  <c r="E37" i="10"/>
  <c r="E107" i="10"/>
  <c r="H111" i="6"/>
  <c r="S79" i="6"/>
  <c r="I49" i="8"/>
  <c r="G95" i="8"/>
  <c r="R49" i="6"/>
  <c r="S49" i="6" s="1"/>
  <c r="F75" i="7"/>
  <c r="F74" i="7"/>
  <c r="F76" i="7"/>
  <c r="F77" i="7"/>
  <c r="F78" i="7" l="1"/>
  <c r="S98" i="6"/>
  <c r="I102" i="6"/>
  <c r="I110" i="6" s="1"/>
  <c r="N104" i="6"/>
  <c r="P104" i="6"/>
  <c r="E54" i="9"/>
  <c r="E71" i="9" s="1"/>
  <c r="G104" i="6"/>
  <c r="L104" i="6"/>
  <c r="O104" i="6"/>
  <c r="D51" i="11"/>
  <c r="D68" i="11" s="1"/>
  <c r="D63" i="7"/>
  <c r="R40" i="6"/>
  <c r="M62" i="6"/>
  <c r="F63" i="7"/>
  <c r="F71" i="7" s="1"/>
  <c r="F62" i="6"/>
  <c r="F104" i="6" s="1"/>
  <c r="G39" i="7"/>
  <c r="H37" i="7"/>
  <c r="I52" i="9"/>
  <c r="F21" i="9"/>
  <c r="I21" i="9"/>
  <c r="F52" i="9"/>
  <c r="G54" i="9"/>
  <c r="G59" i="9" s="1"/>
  <c r="G70" i="9"/>
  <c r="H61" i="7"/>
  <c r="F39" i="7"/>
  <c r="H51" i="7"/>
  <c r="G63" i="7"/>
  <c r="M110" i="6"/>
  <c r="M104" i="6"/>
  <c r="H113" i="6"/>
  <c r="J104" i="6"/>
  <c r="K85" i="10"/>
  <c r="K103" i="10"/>
  <c r="D115" i="6"/>
  <c r="E115" i="6" s="1"/>
  <c r="F115" i="6" s="1"/>
  <c r="G115" i="6" s="1"/>
  <c r="H115" i="6" s="1"/>
  <c r="I115" i="6" s="1"/>
  <c r="J115" i="6" s="1"/>
  <c r="K115" i="6" s="1"/>
  <c r="L115" i="6" s="1"/>
  <c r="M115" i="6" s="1"/>
  <c r="N115" i="6" s="1"/>
  <c r="O115" i="6" s="1"/>
  <c r="P115" i="6" s="1"/>
  <c r="Q115" i="6" s="1"/>
  <c r="G37" i="10"/>
  <c r="G107" i="10"/>
  <c r="K110" i="6"/>
  <c r="N92" i="10"/>
  <c r="N104" i="10"/>
  <c r="O103" i="10"/>
  <c r="O85" i="10"/>
  <c r="I95" i="8"/>
  <c r="M92" i="10"/>
  <c r="M104" i="10"/>
  <c r="H37" i="10"/>
  <c r="H107" i="10"/>
  <c r="D39" i="7"/>
  <c r="H25" i="7"/>
  <c r="F30" i="8"/>
  <c r="N110" i="6"/>
  <c r="R74" i="6"/>
  <c r="S69" i="6"/>
  <c r="J110" i="6"/>
  <c r="D54" i="9"/>
  <c r="D116" i="6"/>
  <c r="E116" i="6" s="1"/>
  <c r="F116" i="6" s="1"/>
  <c r="G116" i="6" s="1"/>
  <c r="G117" i="6" s="1"/>
  <c r="H104" i="6"/>
  <c r="L107" i="10"/>
  <c r="I30" i="8"/>
  <c r="G39" i="8"/>
  <c r="J37" i="10"/>
  <c r="J107" i="10"/>
  <c r="Q62" i="6"/>
  <c r="Q104" i="6" s="1"/>
  <c r="D97" i="8"/>
  <c r="D116" i="8"/>
  <c r="B6" i="8" s="1"/>
  <c r="F39" i="8"/>
  <c r="D107" i="10"/>
  <c r="D37" i="10"/>
  <c r="Q28" i="10"/>
  <c r="Q107" i="10" s="1"/>
  <c r="S45" i="6"/>
  <c r="R60" i="6"/>
  <c r="R62" i="6" s="1"/>
  <c r="F110" i="6"/>
  <c r="I85" i="10"/>
  <c r="I103" i="10"/>
  <c r="L85" i="10"/>
  <c r="L103" i="10"/>
  <c r="I107" i="10"/>
  <c r="E103" i="10"/>
  <c r="E85" i="10"/>
  <c r="S40" i="6"/>
  <c r="F85" i="10"/>
  <c r="F103" i="10"/>
  <c r="K112" i="6"/>
  <c r="K62" i="6"/>
  <c r="K104" i="6" s="1"/>
  <c r="D62" i="6"/>
  <c r="H110" i="6"/>
  <c r="L110" i="6"/>
  <c r="E97" i="8"/>
  <c r="E116" i="8"/>
  <c r="H70" i="9"/>
  <c r="H54" i="9"/>
  <c r="H120" i="8"/>
  <c r="H39" i="8"/>
  <c r="P110" i="6"/>
  <c r="H63" i="7" l="1"/>
  <c r="E59" i="9"/>
  <c r="E65" i="9" s="1"/>
  <c r="E73" i="9" s="1"/>
  <c r="I104" i="6"/>
  <c r="D56" i="11"/>
  <c r="F65" i="7"/>
  <c r="G71" i="9"/>
  <c r="G65" i="7"/>
  <c r="H116" i="6"/>
  <c r="I116" i="6" s="1"/>
  <c r="J116" i="6" s="1"/>
  <c r="K116" i="6" s="1"/>
  <c r="L116" i="6" s="1"/>
  <c r="M116" i="6" s="1"/>
  <c r="N116" i="6" s="1"/>
  <c r="O116" i="6" s="1"/>
  <c r="P116" i="6" s="1"/>
  <c r="Q116" i="6" s="1"/>
  <c r="I54" i="9"/>
  <c r="D104" i="6"/>
  <c r="B6" i="6"/>
  <c r="S62" i="6"/>
  <c r="G85" i="10"/>
  <c r="G103" i="10"/>
  <c r="D65" i="7"/>
  <c r="H39" i="7"/>
  <c r="B6" i="7"/>
  <c r="S60" i="6"/>
  <c r="I92" i="10"/>
  <c r="I104" i="10"/>
  <c r="G65" i="9"/>
  <c r="G72" i="9"/>
  <c r="R102" i="6"/>
  <c r="S102" i="6" s="1"/>
  <c r="S74" i="6"/>
  <c r="E72" i="9"/>
  <c r="K92" i="10"/>
  <c r="K104" i="10"/>
  <c r="D62" i="11"/>
  <c r="D70" i="11" s="1"/>
  <c r="D69" i="11"/>
  <c r="N98" i="10"/>
  <c r="N106" i="10" s="1"/>
  <c r="N105" i="10"/>
  <c r="D103" i="10"/>
  <c r="D85" i="10"/>
  <c r="Q37" i="10"/>
  <c r="Q103" i="10" s="1"/>
  <c r="B6" i="10" s="1"/>
  <c r="M98" i="10"/>
  <c r="M106" i="10" s="1"/>
  <c r="M105" i="10"/>
  <c r="L92" i="10"/>
  <c r="L104" i="10"/>
  <c r="H85" i="10"/>
  <c r="H103" i="10"/>
  <c r="H71" i="9"/>
  <c r="H59" i="9"/>
  <c r="I59" i="9" s="1"/>
  <c r="F117" i="6"/>
  <c r="I113" i="6"/>
  <c r="G116" i="8"/>
  <c r="I39" i="8"/>
  <c r="G97" i="8"/>
  <c r="O92" i="10"/>
  <c r="O104" i="10"/>
  <c r="E105" i="8"/>
  <c r="E117" i="8"/>
  <c r="E104" i="10"/>
  <c r="E92" i="10"/>
  <c r="D71" i="9"/>
  <c r="D59" i="9"/>
  <c r="F54" i="9"/>
  <c r="J85" i="10"/>
  <c r="J103" i="10"/>
  <c r="H116" i="8"/>
  <c r="H97" i="8"/>
  <c r="D117" i="8"/>
  <c r="F97" i="8"/>
  <c r="D105" i="8"/>
  <c r="F104" i="10"/>
  <c r="F92" i="10"/>
  <c r="H117" i="6" l="1"/>
  <c r="I105" i="10"/>
  <c r="I98" i="10"/>
  <c r="I106" i="10" s="1"/>
  <c r="H65" i="7"/>
  <c r="D6" i="7"/>
  <c r="F105" i="10"/>
  <c r="F98" i="10"/>
  <c r="F106" i="10" s="1"/>
  <c r="D111" i="8"/>
  <c r="F105" i="8"/>
  <c r="D118" i="8"/>
  <c r="H105" i="8"/>
  <c r="H117" i="8"/>
  <c r="E105" i="10"/>
  <c r="E98" i="10"/>
  <c r="E106" i="10" s="1"/>
  <c r="G73" i="9"/>
  <c r="I65" i="9"/>
  <c r="G104" i="10"/>
  <c r="G92" i="10"/>
  <c r="L98" i="10"/>
  <c r="L106" i="10" s="1"/>
  <c r="L105" i="10"/>
  <c r="E111" i="8"/>
  <c r="E119" i="8" s="1"/>
  <c r="E118" i="8"/>
  <c r="O98" i="10"/>
  <c r="O106" i="10" s="1"/>
  <c r="O105" i="10"/>
  <c r="J92" i="10"/>
  <c r="J104" i="10"/>
  <c r="K105" i="10"/>
  <c r="K98" i="10"/>
  <c r="K106" i="10" s="1"/>
  <c r="S104" i="6"/>
  <c r="D6" i="6"/>
  <c r="G105" i="8"/>
  <c r="G117" i="8"/>
  <c r="I97" i="8"/>
  <c r="H65" i="9"/>
  <c r="H73" i="9" s="1"/>
  <c r="H72" i="9"/>
  <c r="D104" i="10"/>
  <c r="D92" i="10"/>
  <c r="Q85" i="10"/>
  <c r="Q104" i="10" s="1"/>
  <c r="I117" i="6"/>
  <c r="J113" i="6"/>
  <c r="D72" i="9"/>
  <c r="F59" i="9"/>
  <c r="D65" i="9"/>
  <c r="H104" i="10"/>
  <c r="H92" i="10"/>
  <c r="R104" i="6"/>
  <c r="G111" i="8" l="1"/>
  <c r="I105" i="8"/>
  <c r="G118" i="8"/>
  <c r="D119" i="8"/>
  <c r="D6" i="8" s="1"/>
  <c r="F111" i="8"/>
  <c r="H105" i="10"/>
  <c r="H98" i="10"/>
  <c r="H106" i="10" s="1"/>
  <c r="J117" i="6"/>
  <c r="K113" i="6"/>
  <c r="D105" i="10"/>
  <c r="D98" i="10"/>
  <c r="Q92" i="10"/>
  <c r="Q105" i="10" s="1"/>
  <c r="J105" i="10"/>
  <c r="J98" i="10"/>
  <c r="J106" i="10" s="1"/>
  <c r="D73" i="9"/>
  <c r="D6" i="9" s="1"/>
  <c r="F65" i="9"/>
  <c r="H111" i="8"/>
  <c r="H119" i="8" s="1"/>
  <c r="H118" i="8"/>
  <c r="G105" i="10"/>
  <c r="G98" i="10"/>
  <c r="G106" i="10" s="1"/>
  <c r="Q98" i="10" l="1"/>
  <c r="Q106" i="10" s="1"/>
  <c r="D6" i="10" s="1"/>
  <c r="D106" i="10"/>
  <c r="K117" i="6"/>
  <c r="L113" i="6"/>
  <c r="I111" i="8"/>
  <c r="G119" i="8"/>
  <c r="L117" i="6" l="1"/>
  <c r="M113" i="6"/>
  <c r="M117" i="6" l="1"/>
  <c r="N113" i="6"/>
  <c r="N117" i="6" l="1"/>
  <c r="O113" i="6"/>
  <c r="O117" i="6" l="1"/>
  <c r="P113" i="6"/>
  <c r="P117" i="6" l="1"/>
  <c r="Q113" i="6"/>
  <c r="Q117" i="6" s="1"/>
</calcChain>
</file>

<file path=xl/sharedStrings.xml><?xml version="1.0" encoding="utf-8"?>
<sst xmlns="http://schemas.openxmlformats.org/spreadsheetml/2006/main" count="913" uniqueCount="547">
  <si>
    <t>Immatrielle eiendeler</t>
  </si>
  <si>
    <t>Varer</t>
  </si>
  <si>
    <t>Grid Title</t>
  </si>
  <si>
    <t>FxCode Text</t>
  </si>
  <si>
    <t>Storage Type</t>
  </si>
  <si>
    <t>Dim3Text</t>
  </si>
  <si>
    <t>Dim4Relate to data</t>
  </si>
  <si>
    <t>Variable Dim0Relate to data</t>
  </si>
  <si>
    <t>Variable Dim5Special Rules</t>
  </si>
  <si>
    <t>Variable Dim6</t>
  </si>
  <si>
    <t>Variable Dim6Relate to data</t>
  </si>
  <si>
    <t>Variable Dim8Text</t>
  </si>
  <si>
    <t>Variable Dim Name12</t>
  </si>
  <si>
    <t>Variable Dim12Text</t>
  </si>
  <si>
    <t>Storage Field0</t>
  </si>
  <si>
    <t>Storage Field9 Name</t>
  </si>
  <si>
    <t>Storage Field14</t>
  </si>
  <si>
    <t>Storage Field18</t>
  </si>
  <si>
    <t>DimGridName</t>
  </si>
  <si>
    <t>Chart 4th Data Series</t>
  </si>
  <si>
    <t>Chart 4th Data Series Name</t>
  </si>
  <si>
    <t>IGRowLabelRange</t>
  </si>
  <si>
    <t>MinDG</t>
  </si>
  <si>
    <t>Mar</t>
  </si>
  <si>
    <t>Last Year (all)</t>
  </si>
  <si>
    <t>Per dato:</t>
  </si>
  <si>
    <t>Rapporteringspakken består av følgende:</t>
  </si>
  <si>
    <t>Februar</t>
  </si>
  <si>
    <t>04</t>
  </si>
  <si>
    <t>08</t>
  </si>
  <si>
    <t>11</t>
  </si>
  <si>
    <t>November</t>
  </si>
  <si>
    <t>John Deere 1145</t>
  </si>
  <si>
    <t>Import leverandører</t>
  </si>
  <si>
    <t>Oppgjørskonto merverdiavgift</t>
  </si>
  <si>
    <t>Salg greenfee</t>
  </si>
  <si>
    <t>Spesielt offentlig tilskudd for tilvirkede/solgte varer</t>
  </si>
  <si>
    <t>Spesielt offentlig Norsk Tipping</t>
  </si>
  <si>
    <t>EIENDELER</t>
  </si>
  <si>
    <t>Module Name</t>
  </si>
  <si>
    <t>Time  Relate to data</t>
  </si>
  <si>
    <t>Scenario  Special Rules</t>
  </si>
  <si>
    <t>Category  Special Rules</t>
  </si>
  <si>
    <t>Dim2Text</t>
  </si>
  <si>
    <t>Variable Dim7Special Rules</t>
  </si>
  <si>
    <t>Variable Dim7Text</t>
  </si>
  <si>
    <t>Variable Dim10Relate to data</t>
  </si>
  <si>
    <t>Variable Dim10Special Rules</t>
  </si>
  <si>
    <t>Variable Dim11Text</t>
  </si>
  <si>
    <t>Variable Dim Name16</t>
  </si>
  <si>
    <t>Storage Field3 Name</t>
  </si>
  <si>
    <t>Storage Field4</t>
  </si>
  <si>
    <t>Storage Field8</t>
  </si>
  <si>
    <t>LIDColLabelRange</t>
  </si>
  <si>
    <t>Sum åpne poster</t>
  </si>
  <si>
    <t>Utarbeidet dato:</t>
  </si>
  <si>
    <t>Utvikling Egenkapital %</t>
  </si>
  <si>
    <t>AVVIK</t>
  </si>
  <si>
    <t>Månedspakke - Regnskap</t>
  </si>
  <si>
    <t xml:space="preserve"> - Leverandørgjeld</t>
  </si>
  <si>
    <t>April</t>
  </si>
  <si>
    <t>Sum kostnader ved produksjon</t>
  </si>
  <si>
    <t>Andre transportmidler (2 golfbiler)</t>
  </si>
  <si>
    <t>Forskuddstrekk</t>
  </si>
  <si>
    <t>Utbetalte feriepenger (opptjent i fjor)</t>
  </si>
  <si>
    <t>Tilskudd Norges Idrettsforbund</t>
  </si>
  <si>
    <t>Avskrivning på maskiner</t>
  </si>
  <si>
    <t>Time Text</t>
  </si>
  <si>
    <t>Dim0Special Rules</t>
  </si>
  <si>
    <t>Dim1</t>
  </si>
  <si>
    <t>Variable Dim Name1</t>
  </si>
  <si>
    <t>Variable Dim1Relate to data</t>
  </si>
  <si>
    <t>Variable Dim Name5</t>
  </si>
  <si>
    <t>Variable Dim6Text</t>
  </si>
  <si>
    <t>Variable Dim10Text</t>
  </si>
  <si>
    <t>Variable Dim12Special Rules</t>
  </si>
  <si>
    <t>Variable Dim16Relate to data</t>
  </si>
  <si>
    <t>Storage Field13 Name</t>
  </si>
  <si>
    <t>Storage Field19 Name</t>
  </si>
  <si>
    <t>ChartType</t>
  </si>
  <si>
    <t>Chart 5th Data Series</t>
  </si>
  <si>
    <t>Sum finansielle poster</t>
  </si>
  <si>
    <t>Okt</t>
  </si>
  <si>
    <t>Sum egenkapital</t>
  </si>
  <si>
    <t>Sum kontorkostnader</t>
  </si>
  <si>
    <t>Sum andre driftskostnader</t>
  </si>
  <si>
    <t>Vanningsanlegg</t>
  </si>
  <si>
    <t>Innkjøp Proshop</t>
  </si>
  <si>
    <t>Innkjøp kiosk, avgiftsfri</t>
  </si>
  <si>
    <t>Beholdningsendring</t>
  </si>
  <si>
    <t>Arbeidsgiveravgift av andre påløpte lønnskostnader\r\n</t>
  </si>
  <si>
    <t>Renovasjon, vann, avløp o.l.</t>
  </si>
  <si>
    <t>Porto</t>
  </si>
  <si>
    <t>Bevegelse</t>
  </si>
  <si>
    <t>SUM EIENDELER</t>
  </si>
  <si>
    <t>SUM GJELD OG EGENKAPITAL</t>
  </si>
  <si>
    <t>Grid Cell Range</t>
  </si>
  <si>
    <t>Time  Special Rules</t>
  </si>
  <si>
    <t>Scenario</t>
  </si>
  <si>
    <t>Dim1Text</t>
  </si>
  <si>
    <t>Dim2Special Rules</t>
  </si>
  <si>
    <t>Dim Label3</t>
  </si>
  <si>
    <t>Dim5</t>
  </si>
  <si>
    <t>Dim5Relate to data</t>
  </si>
  <si>
    <t>Dim Label7</t>
  </si>
  <si>
    <t>Dim9</t>
  </si>
  <si>
    <t>Variable Dim7Relate to data</t>
  </si>
  <si>
    <t>Variable Dim Name9</t>
  </si>
  <si>
    <t>Variable Dim9Special Rules</t>
  </si>
  <si>
    <t>Variable Dim13</t>
  </si>
  <si>
    <t>Variable Dim14Special Rules</t>
  </si>
  <si>
    <t>Storage Field8 Name</t>
  </si>
  <si>
    <t>Storage Field11</t>
  </si>
  <si>
    <t>Chart 2nd Data Series</t>
  </si>
  <si>
    <t>Chart 2nd Data Series Name</t>
  </si>
  <si>
    <t>LIDRowsNumber</t>
  </si>
  <si>
    <t>Resultat før avskrivninger</t>
  </si>
  <si>
    <t>Resultat før skatt</t>
  </si>
  <si>
    <t>Jul</t>
  </si>
  <si>
    <t>Nov</t>
  </si>
  <si>
    <t>Sum anleggsmidler</t>
  </si>
  <si>
    <t>RESULTATGRAD</t>
  </si>
  <si>
    <t xml:space="preserve"> - Balanse</t>
  </si>
  <si>
    <t>Sum telefon porto mv</t>
  </si>
  <si>
    <t>Hovden Golfklubb</t>
  </si>
  <si>
    <t>Såmaskin Overseeder 1575</t>
  </si>
  <si>
    <t>Spillandeler</t>
  </si>
  <si>
    <t>Varekjøp kiosk avg. fri</t>
  </si>
  <si>
    <t>Kontingent, fradragsberettiget</t>
  </si>
  <si>
    <t>1/1</t>
  </si>
  <si>
    <t xml:space="preserve">Udisponert resultat </t>
  </si>
  <si>
    <t>Grid Special Rules</t>
  </si>
  <si>
    <t>WorkBookUniqueID</t>
  </si>
  <si>
    <t>Dim0Text</t>
  </si>
  <si>
    <t>Dim4Special Rules</t>
  </si>
  <si>
    <t>Variable Dim3</t>
  </si>
  <si>
    <t>Variable Dim5Text</t>
  </si>
  <si>
    <t>Variable Dim7</t>
  </si>
  <si>
    <t>Variable Dim11Relate to data</t>
  </si>
  <si>
    <t>Variable Dim Name13</t>
  </si>
  <si>
    <t>Variable Dim16Special Rules</t>
  </si>
  <si>
    <t>Variable Dim17</t>
  </si>
  <si>
    <t>Variable Dim17Relate to data</t>
  </si>
  <si>
    <t>Storage Field1</t>
  </si>
  <si>
    <t>Storage Field2 Name</t>
  </si>
  <si>
    <t>Storage Field15</t>
  </si>
  <si>
    <t>Storage Field18 Name</t>
  </si>
  <si>
    <t>Storage Field19</t>
  </si>
  <si>
    <t>Running Actual Sheet row Number</t>
  </si>
  <si>
    <t>ChartDisplayLabel</t>
  </si>
  <si>
    <t>Chart 6th Data Series Name</t>
  </si>
  <si>
    <t>DG Display Label</t>
  </si>
  <si>
    <t>IGDataRange</t>
  </si>
  <si>
    <t>IGDecimalDigits</t>
  </si>
  <si>
    <t>Utvikling Egenkapital</t>
  </si>
  <si>
    <t>Akkumulert Egenkapital</t>
  </si>
  <si>
    <t>Akkumulert Arbeidskapital</t>
  </si>
  <si>
    <t>Åpne poster - Leverandører</t>
  </si>
  <si>
    <t>Leverandør</t>
  </si>
  <si>
    <t>Kommentar</t>
  </si>
  <si>
    <t>Sum gjeld</t>
  </si>
  <si>
    <t>Dekningsgrad</t>
  </si>
  <si>
    <t>Resultatgrad før finansielle poster</t>
  </si>
  <si>
    <t>Beskrivelse</t>
  </si>
  <si>
    <t>Selskap:</t>
  </si>
  <si>
    <t>f</t>
  </si>
  <si>
    <t>01</t>
  </si>
  <si>
    <t>Mars</t>
  </si>
  <si>
    <t>05</t>
  </si>
  <si>
    <t>09</t>
  </si>
  <si>
    <t>12</t>
  </si>
  <si>
    <t>Sum frakt/transport ved salg</t>
  </si>
  <si>
    <t>Sum leiekostnader maskiner/inventar</t>
  </si>
  <si>
    <t>Sum bilkostnader</t>
  </si>
  <si>
    <t>Sum markedsføringskostnader</t>
  </si>
  <si>
    <t>Tilskudd golfbane</t>
  </si>
  <si>
    <t>John Deere 7500</t>
  </si>
  <si>
    <t>Inventar</t>
  </si>
  <si>
    <t>Bankinnskudd for skattetrekk</t>
  </si>
  <si>
    <t>Annen påløpt kostnad</t>
  </si>
  <si>
    <t>Medlemskontingent</t>
  </si>
  <si>
    <t>Annen fordel i arbeidsforhold</t>
  </si>
  <si>
    <t>Reperasjon og vedlikehold bane</t>
  </si>
  <si>
    <t>Entity Special Rules</t>
  </si>
  <si>
    <t>Dim0Relate to data</t>
  </si>
  <si>
    <t>Dim6Relate to data</t>
  </si>
  <si>
    <t>Dim6Special Rules</t>
  </si>
  <si>
    <t>Variable Dim0Special Rules</t>
  </si>
  <si>
    <t>Variable Dim2Relate to data</t>
  </si>
  <si>
    <t>Variable Dim4Text</t>
  </si>
  <si>
    <t>Variable Dim Name17</t>
  </si>
  <si>
    <t>Variable Dim18Special Rules</t>
  </si>
  <si>
    <t>Storage Field5</t>
  </si>
  <si>
    <t>Storage Field9</t>
  </si>
  <si>
    <t>Storage Field12 Name</t>
  </si>
  <si>
    <t>Enable SIMWindow</t>
  </si>
  <si>
    <t>Chart 6th Data Series</t>
  </si>
  <si>
    <t>BudgetTotal</t>
  </si>
  <si>
    <t>Sum salg</t>
  </si>
  <si>
    <t>Sum avskrivninger</t>
  </si>
  <si>
    <t>Akkumulert Gjeld og Egenkapital</t>
  </si>
  <si>
    <t>DEKNINGSGRAD</t>
  </si>
  <si>
    <t>HITTIL I FJOR</t>
  </si>
  <si>
    <t>Kunde</t>
  </si>
  <si>
    <t>September</t>
  </si>
  <si>
    <t>Bruttomargin</t>
  </si>
  <si>
    <t>Tilskudd vanningsanlegg</t>
  </si>
  <si>
    <t>John Deere CX Gator</t>
  </si>
  <si>
    <t>Golfnett</t>
  </si>
  <si>
    <t>Bank 2801.39.80243</t>
  </si>
  <si>
    <t>Inngående merverdiavgift, høy sats</t>
  </si>
  <si>
    <t>Forskudd fra kunder</t>
  </si>
  <si>
    <t>Uopptjent inntekt</t>
  </si>
  <si>
    <t>Salgsinntekt, avgiftsfri</t>
  </si>
  <si>
    <t>Bank og kortgebyr</t>
  </si>
  <si>
    <t>Avskrivning på inventar</t>
  </si>
  <si>
    <t>GJELD</t>
  </si>
  <si>
    <t>Annen langsiktig gjeld</t>
  </si>
  <si>
    <t>Entity</t>
  </si>
  <si>
    <t>Time</t>
  </si>
  <si>
    <t>Dim Label0</t>
  </si>
  <si>
    <t>Dim2</t>
  </si>
  <si>
    <t>Dim8Special Rules</t>
  </si>
  <si>
    <t>Variable Dim Name2</t>
  </si>
  <si>
    <t>Variable Dim3Text</t>
  </si>
  <si>
    <t>Variable Dim8Relate to data</t>
  </si>
  <si>
    <t>Storage Field7 Name</t>
  </si>
  <si>
    <t>Chart 1stData Series</t>
  </si>
  <si>
    <t>Utvikling Arbeidskapital</t>
  </si>
  <si>
    <t>Apr</t>
  </si>
  <si>
    <t>Aug</t>
  </si>
  <si>
    <t>Resultat per måned</t>
  </si>
  <si>
    <t>EGENKAPITAL OG GJELD</t>
  </si>
  <si>
    <t>FAKTISK</t>
  </si>
  <si>
    <t>I FJOR</t>
  </si>
  <si>
    <t>Juli</t>
  </si>
  <si>
    <t>August</t>
  </si>
  <si>
    <t>Desember</t>
  </si>
  <si>
    <t>Sum fremmedtjenester</t>
  </si>
  <si>
    <t>Klubbhus</t>
  </si>
  <si>
    <t>Kunstgressbane</t>
  </si>
  <si>
    <t>Feiemaskin</t>
  </si>
  <si>
    <t>Inngående merverdiavgift, høy sats, innførsel utland</t>
  </si>
  <si>
    <t>Motkonto for gruppe 52</t>
  </si>
  <si>
    <t>Arbeidsgiveravgift av påløpt ferielønn</t>
  </si>
  <si>
    <t>Motordrevet verktøy</t>
  </si>
  <si>
    <t>Aviser, tidsskrifter, bøker o.l</t>
  </si>
  <si>
    <t>Serviceavg. organisasjoner</t>
  </si>
  <si>
    <t>Renteinntekt (finansinstitusjon)</t>
  </si>
  <si>
    <t>Dim Label4</t>
  </si>
  <si>
    <t>Dim6</t>
  </si>
  <si>
    <t>Dim Label8</t>
  </si>
  <si>
    <t>Variable Dim0</t>
  </si>
  <si>
    <t>Variable Dim2Special Rules</t>
  </si>
  <si>
    <t>Variable Dim2Text</t>
  </si>
  <si>
    <t>Variable Dim Name6</t>
  </si>
  <si>
    <t>Variable Dim10</t>
  </si>
  <si>
    <t>Variable Dim12Relate to data</t>
  </si>
  <si>
    <t>Variable Dim14</t>
  </si>
  <si>
    <t>Variable Dim18Relate to data</t>
  </si>
  <si>
    <t>Variable Dim19Text</t>
  </si>
  <si>
    <t>Storage Field1 Name</t>
  </si>
  <si>
    <t>Storage Field12</t>
  </si>
  <si>
    <t>Storage Field17 Name</t>
  </si>
  <si>
    <t>DimSheetName</t>
  </si>
  <si>
    <t>Running Actual Grid Number</t>
  </si>
  <si>
    <t>DGHide</t>
  </si>
  <si>
    <t>IGDisplayLabel</t>
  </si>
  <si>
    <t>Periode:</t>
  </si>
  <si>
    <t>Jan</t>
  </si>
  <si>
    <t>Feb</t>
  </si>
  <si>
    <t>Månedspakke</t>
  </si>
  <si>
    <t>Regnskapskommentarer</t>
  </si>
  <si>
    <t>Lønnsforskudd</t>
  </si>
  <si>
    <t>Bank 2801.04.62594</t>
  </si>
  <si>
    <t>Salgsinntekt reklame avgiftspliktig, høy sats</t>
  </si>
  <si>
    <t>Periodisert inntekt</t>
  </si>
  <si>
    <t>Fremmedytelse og underentreprise</t>
  </si>
  <si>
    <t>Bensin, dieselolje</t>
  </si>
  <si>
    <t>Leige av grunn</t>
  </si>
  <si>
    <t>Programvare</t>
  </si>
  <si>
    <t>Kontorrekvisita</t>
  </si>
  <si>
    <t>Forsikringspremie</t>
  </si>
  <si>
    <t>Yx Norge AS</t>
  </si>
  <si>
    <t>Balanse</t>
  </si>
  <si>
    <t>Varige driftsmidler</t>
  </si>
  <si>
    <t>Finansielle anleggsmidler</t>
  </si>
  <si>
    <t>Investeringer</t>
  </si>
  <si>
    <t>Entity Relate to data</t>
  </si>
  <si>
    <t>Scenario  Relate to data</t>
  </si>
  <si>
    <t>Dim1Relate to data</t>
  </si>
  <si>
    <t>Dim7Relate to data</t>
  </si>
  <si>
    <t>Dim9Text</t>
  </si>
  <si>
    <t>Variable Dim3Relate to data</t>
  </si>
  <si>
    <t>Variable Dim4</t>
  </si>
  <si>
    <t>Variable Dim4Special Rules</t>
  </si>
  <si>
    <t>Variable Dim8</t>
  </si>
  <si>
    <t>Variable Dim9Relate to data</t>
  </si>
  <si>
    <t>Variable Dim Name10</t>
  </si>
  <si>
    <t>Variable Dim Name14</t>
  </si>
  <si>
    <t>Variable Dim18</t>
  </si>
  <si>
    <t>Variable Dim18Text</t>
  </si>
  <si>
    <t>Storage Field2</t>
  </si>
  <si>
    <t>Storage Field11 Name</t>
  </si>
  <si>
    <t>Storage Field16</t>
  </si>
  <si>
    <t>Interface Setting Grid Number</t>
  </si>
  <si>
    <t>Chart Legend Location</t>
  </si>
  <si>
    <t>Chart 3rd Data Series</t>
  </si>
  <si>
    <t>DGRow Label</t>
  </si>
  <si>
    <t>ActualTotal</t>
  </si>
  <si>
    <t>Sum personalkostnader</t>
  </si>
  <si>
    <t>Beløp</t>
  </si>
  <si>
    <t>TOTALT</t>
  </si>
  <si>
    <t>- Regnskap</t>
  </si>
  <si>
    <t xml:space="preserve"> - Forside</t>
  </si>
  <si>
    <t>02</t>
  </si>
  <si>
    <t>06</t>
  </si>
  <si>
    <t>Tilskudd kunstgressbane</t>
  </si>
  <si>
    <t>Kundefordringer</t>
  </si>
  <si>
    <t>Salgsinntekt Proshop, avgiftspliktig, høy sats</t>
  </si>
  <si>
    <t>Leieinntekt golfbil/tralle</t>
  </si>
  <si>
    <t>Arbeidsgiveravgift</t>
  </si>
  <si>
    <t>Øreavrunding</t>
  </si>
  <si>
    <t>Merkantil Service AS</t>
  </si>
  <si>
    <t>Fordringer</t>
  </si>
  <si>
    <t>Opptjent egenkapital</t>
  </si>
  <si>
    <t>Scenario Text</t>
  </si>
  <si>
    <t>Category</t>
  </si>
  <si>
    <t>FxCode  Special Rules</t>
  </si>
  <si>
    <t>Variable Dim1Text</t>
  </si>
  <si>
    <t>Variable Dim6Special Rules</t>
  </si>
  <si>
    <t>Variable Dim11Special Rules</t>
  </si>
  <si>
    <t>Variable Dim17Text</t>
  </si>
  <si>
    <t>Variable Dim Name18</t>
  </si>
  <si>
    <t>Storage Field0 Name</t>
  </si>
  <si>
    <t>Storage Field6</t>
  </si>
  <si>
    <t>Storage Field6 Name</t>
  </si>
  <si>
    <t>Active Grid Number</t>
  </si>
  <si>
    <t>Chart 3rd Data SeriesName</t>
  </si>
  <si>
    <t>IGHide</t>
  </si>
  <si>
    <t>Sep</t>
  </si>
  <si>
    <t>Resultatgrad før finansposter</t>
  </si>
  <si>
    <t>Annen egenkapital</t>
  </si>
  <si>
    <t>Utgående merverdiavgift, høy sats, innførsel utland</t>
  </si>
  <si>
    <t>Inngående merverdiavgift, høy sats, tjenester utland</t>
  </si>
  <si>
    <t>Driftsmateriale</t>
  </si>
  <si>
    <t>Reperasjon og vedlikehold bygninger</t>
  </si>
  <si>
    <t>Reparasjon og vedlikehold utstyr</t>
  </si>
  <si>
    <t>IB</t>
  </si>
  <si>
    <t>OMLØPSMIDLER</t>
  </si>
  <si>
    <t>EGENKAPITAL</t>
  </si>
  <si>
    <t>Innskutt egenkapital</t>
  </si>
  <si>
    <t>Category  Relate to data</t>
  </si>
  <si>
    <t>FxCode  Relate to data</t>
  </si>
  <si>
    <t>Dim1Special Rules</t>
  </si>
  <si>
    <t>Dim2Relate to data</t>
  </si>
  <si>
    <t>Dim3</t>
  </si>
  <si>
    <t>Dim8Text</t>
  </si>
  <si>
    <t>Variable Dim0Text</t>
  </si>
  <si>
    <t>Variable Dim Name3</t>
  </si>
  <si>
    <t>Variable Dim8Special Rules</t>
  </si>
  <si>
    <t>Variable Dim13Relate to data</t>
  </si>
  <si>
    <t>Variable Dim19Relate to data</t>
  </si>
  <si>
    <t>Storage Field10 Name</t>
  </si>
  <si>
    <t>Storage Field16 Name</t>
  </si>
  <si>
    <t>ChartXAxiesLabel</t>
  </si>
  <si>
    <t>Chart 1st DataSeries Name</t>
  </si>
  <si>
    <t>Chart 5th Data Series Name</t>
  </si>
  <si>
    <t>EnableLID</t>
  </si>
  <si>
    <t>Resultatrapport</t>
  </si>
  <si>
    <t>Akkumulert Egenkapital i %</t>
  </si>
  <si>
    <t>INNGÅENDE BALANSE</t>
  </si>
  <si>
    <t>Resultatgrad før skatt</t>
  </si>
  <si>
    <t xml:space="preserve"> - Resultat per måned</t>
  </si>
  <si>
    <t>Beholdning handelsvarer</t>
  </si>
  <si>
    <t>Andre depositum</t>
  </si>
  <si>
    <t>Kasse</t>
  </si>
  <si>
    <t>Annen leiekostnad</t>
  </si>
  <si>
    <t>Annen fremmed tjeneste</t>
  </si>
  <si>
    <t>Dim Label1</t>
  </si>
  <si>
    <t>Dim3Special Rules</t>
  </si>
  <si>
    <t>Dim Label5</t>
  </si>
  <si>
    <t>Dim7</t>
  </si>
  <si>
    <t>Dim7Text</t>
  </si>
  <si>
    <t>Dim8Relate to data</t>
  </si>
  <si>
    <t>Dim Label9</t>
  </si>
  <si>
    <t>Variable Dim1</t>
  </si>
  <si>
    <t>Variable Dim4Relate to data</t>
  </si>
  <si>
    <t>Variable Dim Name7</t>
  </si>
  <si>
    <t>Variable Dim11</t>
  </si>
  <si>
    <t>Variable Dim13Special Rules</t>
  </si>
  <si>
    <t>Variable Dim15</t>
  </si>
  <si>
    <t>Variable Dim16Text</t>
  </si>
  <si>
    <t>Storage Field5 Name</t>
  </si>
  <si>
    <t>SliderMinMovePer</t>
  </si>
  <si>
    <t>TotalHide</t>
  </si>
  <si>
    <t>Sum totale kostnader</t>
  </si>
  <si>
    <t>Utvikling Bank, kontanter, kasse</t>
  </si>
  <si>
    <t>Mai</t>
  </si>
  <si>
    <t>Jun</t>
  </si>
  <si>
    <t>Akkumulert Bank, kontanter, kasse</t>
  </si>
  <si>
    <t>Fakturanummer</t>
  </si>
  <si>
    <t xml:space="preserve">Selskap: </t>
  </si>
  <si>
    <t>Oktober</t>
  </si>
  <si>
    <t>Andre forskuddsbetalte kostnader</t>
  </si>
  <si>
    <t>Leverandørgjeld</t>
  </si>
  <si>
    <t>Skyldig feriepenger</t>
  </si>
  <si>
    <t>Annen kortsiktig gjeld</t>
  </si>
  <si>
    <t>Salg omreg.andel</t>
  </si>
  <si>
    <t>Yrkesskadeforsikring</t>
  </si>
  <si>
    <t>Leie datasystemer</t>
  </si>
  <si>
    <t>Diverse adm. kostnader</t>
  </si>
  <si>
    <t>Rentekostnader leverandører</t>
  </si>
  <si>
    <t>dbl bet</t>
  </si>
  <si>
    <t>UB</t>
  </si>
  <si>
    <t>Kortsiktig gjeld</t>
  </si>
  <si>
    <t>Sheet Name</t>
  </si>
  <si>
    <t>Entity Text</t>
  </si>
  <si>
    <t>Category Text</t>
  </si>
  <si>
    <t>Template CreatedDate</t>
  </si>
  <si>
    <t>Dim5Special Rules</t>
  </si>
  <si>
    <t>Dim6Text</t>
  </si>
  <si>
    <t>Variable Dim5</t>
  </si>
  <si>
    <t>Variable Dim9</t>
  </si>
  <si>
    <t>Variable Dim Name11</t>
  </si>
  <si>
    <t>Variable Dim14Relate to data</t>
  </si>
  <si>
    <t>Variable Dim15Special Rules</t>
  </si>
  <si>
    <t>Variable Dim15Text</t>
  </si>
  <si>
    <t>Variable Dim19</t>
  </si>
  <si>
    <t>Storage Field13</t>
  </si>
  <si>
    <t>Storage Field17</t>
  </si>
  <si>
    <t>DG Decimal Digits</t>
  </si>
  <si>
    <t>LIDHide</t>
  </si>
  <si>
    <t>SliderMaxpercentage</t>
  </si>
  <si>
    <t>Forfallsdato</t>
  </si>
  <si>
    <t>Des</t>
  </si>
  <si>
    <t>This Year (all)</t>
  </si>
  <si>
    <t>Resultatgrad før avskrivninger</t>
  </si>
  <si>
    <t>Utarbeidet av:</t>
  </si>
  <si>
    <t>Januar</t>
  </si>
  <si>
    <t>03</t>
  </si>
  <si>
    <t>07</t>
  </si>
  <si>
    <t>10</t>
  </si>
  <si>
    <t>Sum reparasjon og vedlikehold</t>
  </si>
  <si>
    <t xml:space="preserve"> - Resultat med fjorårstall</t>
  </si>
  <si>
    <t>Golfbane</t>
  </si>
  <si>
    <t>John Deere 7400</t>
  </si>
  <si>
    <t>Import kunder</t>
  </si>
  <si>
    <t>Utgående merverdiavgift, høy sats, tjenester utland</t>
  </si>
  <si>
    <t>Underentreprenører, oppgavepliktige</t>
  </si>
  <si>
    <t>Lønn til ansatte</t>
  </si>
  <si>
    <t>Feriepenger</t>
  </si>
  <si>
    <t>Elektrisitet</t>
  </si>
  <si>
    <t>Honorar for økonomisk og juridisk bistand</t>
  </si>
  <si>
    <t>Annen kostnad, fradragsberettiget\r\n</t>
  </si>
  <si>
    <t>ANLEGGSMIDLER</t>
  </si>
  <si>
    <t xml:space="preserve">FxCode </t>
  </si>
  <si>
    <t>Dim3Relate to data</t>
  </si>
  <si>
    <t>Dim9Relate to data</t>
  </si>
  <si>
    <t>Variable Dim5Relate to data</t>
  </si>
  <si>
    <t>Variable Dim14Text</t>
  </si>
  <si>
    <t>Variable Dim Name15</t>
  </si>
  <si>
    <t>Variable Dim17Special Rules</t>
  </si>
  <si>
    <t>Variable Dim Name19</t>
  </si>
  <si>
    <t>Storage Field3</t>
  </si>
  <si>
    <t>Storage Field7</t>
  </si>
  <si>
    <t>Storage Field15 Name</t>
  </si>
  <si>
    <t>Period Type</t>
  </si>
  <si>
    <t>ChartHide</t>
  </si>
  <si>
    <t>DGData</t>
  </si>
  <si>
    <t>IGColLabelRange</t>
  </si>
  <si>
    <t>LIDActualDataRange</t>
  </si>
  <si>
    <t>LIDDisplayLabel</t>
  </si>
  <si>
    <t>TotalGridHeadings</t>
  </si>
  <si>
    <t>Resultat før finansielle poster</t>
  </si>
  <si>
    <t>UTGÅENDE BALANSE</t>
  </si>
  <si>
    <t>Avstemming</t>
  </si>
  <si>
    <t>NØKKELTALL</t>
  </si>
  <si>
    <t xml:space="preserve">Periode: </t>
  </si>
  <si>
    <t>Personalkostnad %</t>
  </si>
  <si>
    <t>Sum kostnadsført verktøy/inventar mv</t>
  </si>
  <si>
    <t>Sum reisekostnader</t>
  </si>
  <si>
    <t>Skilt</t>
  </si>
  <si>
    <t>Andre kortsiktige fordringer\r\n</t>
  </si>
  <si>
    <t>Forskuddsbetalt forsikring</t>
  </si>
  <si>
    <t>Påløpt arbeidsgiveravgift på påløpt lønn</t>
  </si>
  <si>
    <t>Påløpt arbeidsgiveravgift på ferielønn</t>
  </si>
  <si>
    <t>Leiekostn. betalingsterminal</t>
  </si>
  <si>
    <t>Honorar regnskap</t>
  </si>
  <si>
    <t>Gave, fradragsberettiget</t>
  </si>
  <si>
    <t>Bankinnskudd, kontanter o.l.</t>
  </si>
  <si>
    <t>Dim0</t>
  </si>
  <si>
    <t>Dim4</t>
  </si>
  <si>
    <t>Dim5Text</t>
  </si>
  <si>
    <t>Dim7Special Rules</t>
  </si>
  <si>
    <t>Variable Dim Name0</t>
  </si>
  <si>
    <t>Variable Dim1Special Rules</t>
  </si>
  <si>
    <t>Variable Dim Name4</t>
  </si>
  <si>
    <t>Variable Dim13Text</t>
  </si>
  <si>
    <t>Variable Dim19Special Rules</t>
  </si>
  <si>
    <t>Storage Field4 Name</t>
  </si>
  <si>
    <t>DGCol Label</t>
  </si>
  <si>
    <t>MinChart</t>
  </si>
  <si>
    <t>EnableCustomSpreading</t>
  </si>
  <si>
    <t>Hittil:</t>
  </si>
  <si>
    <t>Sum vareforbruk</t>
  </si>
  <si>
    <t>Åpne poster kunder</t>
  </si>
  <si>
    <t>Transaksjonsdato</t>
  </si>
  <si>
    <t>Totalt salg</t>
  </si>
  <si>
    <t>Sum omløpsmidler</t>
  </si>
  <si>
    <t>HITTIL I ÅR</t>
  </si>
  <si>
    <t xml:space="preserve"> - Kundefordringer</t>
  </si>
  <si>
    <t>Juni</t>
  </si>
  <si>
    <t>Forside</t>
  </si>
  <si>
    <t>Skyldig arbeidsgiveravgift</t>
  </si>
  <si>
    <t>Salgsinntekt poletter/ballautomat avgiftspliktig, høy sats</t>
  </si>
  <si>
    <t>Annen driftsrelatert inntekt</t>
  </si>
  <si>
    <t>Arbeidsklær og verneutstyr</t>
  </si>
  <si>
    <t>Avskrivning på transportmidler</t>
  </si>
  <si>
    <t>Hittil i år</t>
  </si>
  <si>
    <t>Avsetning for forpliktelser</t>
  </si>
  <si>
    <t>InfoManager Number</t>
  </si>
  <si>
    <t>Dim Label2</t>
  </si>
  <si>
    <t>Dim4Text</t>
  </si>
  <si>
    <t>Dim Label6</t>
  </si>
  <si>
    <t>Dim8</t>
  </si>
  <si>
    <t>Dim9Special Rules</t>
  </si>
  <si>
    <t>Variable Dim2</t>
  </si>
  <si>
    <t>Variable Dim3Special Rules</t>
  </si>
  <si>
    <t>Variable Dim Name8</t>
  </si>
  <si>
    <t>Variable Dim9Text</t>
  </si>
  <si>
    <t>Variable Dim12</t>
  </si>
  <si>
    <t>Variable Dim15Relate to data</t>
  </si>
  <si>
    <t>Variable Dim16</t>
  </si>
  <si>
    <t>Storage Field10</t>
  </si>
  <si>
    <t>Storage Field14 Name</t>
  </si>
  <si>
    <t>SaveType</t>
  </si>
  <si>
    <t>FormatType</t>
  </si>
  <si>
    <t>Resultat før finansposter</t>
  </si>
  <si>
    <t>Rapporten henter budsjett fra 24sevenoffice</t>
  </si>
  <si>
    <t xml:space="preserve"> - Kommentarer</t>
  </si>
  <si>
    <t>Sum kostnader lokaler</t>
  </si>
  <si>
    <t>Utgående merverdiavgift, høy sats</t>
  </si>
  <si>
    <t>Salg kiosk</t>
  </si>
  <si>
    <t>Lys, varme</t>
  </si>
  <si>
    <t>Reklamekostnad</t>
  </si>
  <si>
    <t>Avskrivning på bygninger og annen fast eiendom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</si>
</sst>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* #,##0.00_);_(* \(#,##0.00\);_(* &quot;-&quot;??_);_(@_)"/>
    <numFmt numFmtId="165" formatCode="0.0\ %"/>
    <numFmt numFmtId="166" formatCode="_(* #,##0_);_(* \(#,##0\);_(* &quot;-&quot;??_);_(@_)"/>
    <numFmt numFmtId="167" formatCode="#,##0_ ;[Red]\-#,##0\ "/>
    <numFmt numFmtId="168" formatCode="[$-809]dd\ mmmm\ yyyy;@"/>
    <numFmt numFmtId="169" formatCode="#,##0_ ;[Red]\(#,##0\)"/>
    <numFmt numFmtId="170" formatCode="dd/mm/yyyy;@"/>
    <numFmt numFmtId="171" formatCode="[$-414]mmmm\ yyyy;@"/>
  </numFmts>
  <fonts count="42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6"/>
      <color rgb="FF37485A"/>
      <name val="Roboto"/>
    </font>
    <font>
      <sz val="16"/>
      <color rgb="FF37485A"/>
      <name val="Roboto"/>
    </font>
    <font>
      <b/>
      <sz val="14"/>
      <color rgb="FF37485A"/>
      <name val="Roboto"/>
    </font>
    <font>
      <sz val="14"/>
      <color rgb="FF37485A"/>
      <name val="Roboto"/>
    </font>
    <font>
      <b/>
      <sz val="11"/>
      <color rgb="FF37485A"/>
      <name val="Roboto"/>
    </font>
    <font>
      <sz val="12"/>
      <color theme="1"/>
      <name val="Roboto"/>
    </font>
    <font>
      <sz val="11"/>
      <color rgb="FF37485A"/>
      <name val="Roboto"/>
    </font>
    <font>
      <sz val="11"/>
      <color theme="1"/>
      <name val="Roboto"/>
    </font>
    <font>
      <sz val="12"/>
      <color rgb="FF37485A"/>
      <name val="Roboto"/>
    </font>
    <font>
      <sz val="12"/>
      <color theme="0"/>
      <name val="Roboto"/>
    </font>
    <font>
      <b/>
      <sz val="11"/>
      <color theme="0"/>
      <name val="Roboto"/>
    </font>
    <font>
      <b/>
      <sz val="11"/>
      <color rgb="FF434B58"/>
      <name val="Roboto"/>
    </font>
    <font>
      <sz val="14"/>
      <color theme="0"/>
      <name val="Roboto"/>
    </font>
    <font>
      <sz val="10"/>
      <color theme="1"/>
      <name val="Roboto"/>
    </font>
    <font>
      <sz val="11"/>
      <color rgb="FF434B58"/>
      <name val="Roboto"/>
    </font>
    <font>
      <sz val="12"/>
      <color rgb="FF6D6F71"/>
      <name val="Roboto"/>
    </font>
    <font>
      <sz val="11"/>
      <color rgb="FF6D6F71"/>
      <name val="Roboto"/>
    </font>
    <font>
      <sz val="14"/>
      <color theme="1"/>
      <name val="Roboto"/>
    </font>
    <font>
      <b/>
      <sz val="11"/>
      <color rgb="FF6D6F71"/>
      <name val="Roboto"/>
    </font>
    <font>
      <sz val="8"/>
      <color theme="1"/>
      <name val="Calibri"/>
      <family val="2"/>
      <scheme val="minor"/>
    </font>
    <font>
      <sz val="22"/>
      <color rgb="FF37485A"/>
      <name val="Roboto"/>
    </font>
    <font>
      <sz val="16"/>
      <color theme="1"/>
      <name val="Roboto"/>
    </font>
    <font>
      <i/>
      <sz val="14"/>
      <color rgb="FF37485A"/>
      <name val="Roboto"/>
    </font>
    <font>
      <i/>
      <sz val="14"/>
      <color theme="1"/>
      <name val="Roboto"/>
    </font>
    <font>
      <sz val="10"/>
      <color theme="1"/>
      <name val="Calibri"/>
      <family val="2"/>
      <scheme val="minor"/>
    </font>
    <font>
      <sz val="14"/>
      <color rgb="FF6D6F71"/>
      <name val="Roboto"/>
    </font>
    <font>
      <b/>
      <sz val="20"/>
      <color rgb="FF37485A"/>
      <name val="Roboto"/>
    </font>
    <font>
      <b/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Roboto"/>
    </font>
    <font>
      <b/>
      <sz val="20"/>
      <color theme="1"/>
      <name val="Roboto"/>
    </font>
    <font>
      <sz val="10"/>
      <name val="Calibri"/>
      <family val="2"/>
      <scheme val="minor"/>
    </font>
    <font>
      <sz val="20"/>
      <color theme="1"/>
      <name val="Roboto"/>
    </font>
    <font>
      <b/>
      <sz val="11"/>
      <color theme="1"/>
      <name val="Roboto"/>
    </font>
    <font>
      <b/>
      <sz val="14"/>
      <color theme="0"/>
      <name val="Roboto"/>
    </font>
    <font>
      <b/>
      <sz val="20"/>
      <color theme="0"/>
      <name val="Roboto"/>
    </font>
    <font>
      <sz val="18"/>
      <color theme="0"/>
      <name val="Roboto"/>
    </font>
    <font>
      <b/>
      <sz val="26"/>
      <color theme="1"/>
      <name val="Roboto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7485A"/>
        <bgColor indexed="64"/>
      </patternFill>
    </fill>
    <fill>
      <patternFill patternType="solid">
        <fgColor rgb="FFFFC711"/>
        <bgColor indexed="64"/>
      </patternFill>
    </fill>
    <fill>
      <patternFill patternType="solid">
        <fgColor rgb="FFF2F2F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ck">
        <color theme="1"/>
      </top>
      <bottom style="thick">
        <color theme="1"/>
      </bottom>
      <diagonal/>
    </border>
    <border>
      <left/>
      <right style="medium">
        <color indexed="64"/>
      </right>
      <top/>
      <bottom style="thick">
        <color theme="1"/>
      </bottom>
      <diagonal/>
    </border>
    <border>
      <left/>
      <right style="medium">
        <color indexed="64"/>
      </right>
      <top/>
      <bottom/>
      <diagonal/>
    </border>
    <border>
      <left style="thick">
        <color rgb="FFFFC711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rgb="FFFFC711"/>
      </right>
      <top/>
      <bottom/>
      <diagonal/>
    </border>
    <border>
      <left/>
      <right style="medium">
        <color indexed="64"/>
      </right>
      <top style="thick">
        <color theme="1"/>
      </top>
      <bottom style="thick">
        <color theme="1"/>
      </bottom>
      <diagonal/>
    </border>
    <border>
      <left style="thick">
        <color rgb="FFFFC000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41" fillId="2" borderId="0" applyNumberFormat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1" fillId="0" borderId="0"/>
    <xf numFmtId="0" fontId="2" fillId="0" borderId="0"/>
    <xf numFmtId="9" fontId="4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9">
    <xf numFmtId="0" fontId="0" fillId="0" borderId="0" xfId="0"/>
    <xf numFmtId="167" fontId="3" fillId="0" borderId="0" xfId="0" applyNumberFormat="1" applyFont="1" applyAlignment="1">
      <alignment horizontal="right"/>
    </xf>
    <xf numFmtId="0" fontId="0" fillId="3" borderId="1" xfId="0" applyFill="1" applyBorder="1" applyAlignment="1">
      <alignment horizontal="center" vertical="center" wrapText="1"/>
    </xf>
    <xf numFmtId="167" fontId="4" fillId="0" borderId="0" xfId="0" applyNumberFormat="1" applyFont="1" applyAlignment="1">
      <alignment horizontal="right"/>
    </xf>
    <xf numFmtId="167" fontId="5" fillId="0" borderId="0" xfId="0" applyNumberFormat="1" applyFont="1" applyAlignment="1">
      <alignment horizontal="right"/>
    </xf>
    <xf numFmtId="167" fontId="6" fillId="0" borderId="0" xfId="0" applyNumberFormat="1" applyFont="1"/>
    <xf numFmtId="167" fontId="5" fillId="0" borderId="0" xfId="0" applyNumberFormat="1" applyFont="1"/>
    <xf numFmtId="3" fontId="3" fillId="4" borderId="0" xfId="0" applyNumberFormat="1" applyFont="1" applyFill="1"/>
    <xf numFmtId="0" fontId="7" fillId="0" borderId="0" xfId="0" applyFont="1"/>
    <xf numFmtId="167" fontId="8" fillId="0" borderId="0" xfId="0" applyNumberFormat="1" applyFont="1"/>
    <xf numFmtId="167" fontId="9" fillId="0" borderId="0" xfId="0" applyNumberFormat="1" applyFont="1"/>
    <xf numFmtId="0" fontId="10" fillId="5" borderId="0" xfId="0" applyFont="1" applyFill="1"/>
    <xf numFmtId="3" fontId="6" fillId="0" borderId="2" xfId="0" applyNumberFormat="1" applyFont="1" applyBorder="1"/>
    <xf numFmtId="167" fontId="11" fillId="0" borderId="0" xfId="0" applyNumberFormat="1" applyFont="1"/>
    <xf numFmtId="165" fontId="12" fillId="5" borderId="0" xfId="10" applyNumberFormat="1" applyFont="1" applyFill="1"/>
    <xf numFmtId="167" fontId="6" fillId="0" borderId="0" xfId="0" applyNumberFormat="1" applyFont="1" applyAlignment="1">
      <alignment horizontal="right"/>
    </xf>
    <xf numFmtId="3" fontId="6" fillId="0" borderId="0" xfId="0" applyNumberFormat="1" applyFont="1"/>
    <xf numFmtId="0" fontId="13" fillId="0" borderId="0" xfId="0" applyFont="1" applyAlignment="1">
      <alignment horizontal="center"/>
    </xf>
    <xf numFmtId="1" fontId="4" fillId="4" borderId="0" xfId="0" applyNumberFormat="1" applyFont="1" applyFill="1" applyAlignment="1">
      <alignment horizontal="center"/>
    </xf>
    <xf numFmtId="3" fontId="4" fillId="4" borderId="0" xfId="0" applyNumberFormat="1" applyFont="1" applyFill="1" applyAlignment="1">
      <alignment horizontal="left"/>
    </xf>
    <xf numFmtId="3" fontId="4" fillId="0" borderId="2" xfId="0" applyNumberFormat="1" applyFont="1" applyBorder="1"/>
    <xf numFmtId="0" fontId="13" fillId="6" borderId="0" xfId="0" applyFont="1" applyFill="1" applyAlignment="1">
      <alignment horizontal="center"/>
    </xf>
    <xf numFmtId="3" fontId="5" fillId="4" borderId="0" xfId="0" applyNumberFormat="1" applyFont="1" applyFill="1"/>
    <xf numFmtId="165" fontId="14" fillId="0" borderId="0" xfId="10" applyNumberFormat="1" applyFont="1"/>
    <xf numFmtId="3" fontId="5" fillId="0" borderId="0" xfId="0" applyNumberFormat="1" applyFont="1"/>
    <xf numFmtId="0" fontId="15" fillId="5" borderId="0" xfId="0" applyFont="1" applyFill="1" applyAlignment="1">
      <alignment horizontal="right"/>
    </xf>
    <xf numFmtId="0" fontId="7" fillId="0" borderId="0" xfId="0" applyFont="1" applyAlignment="1">
      <alignment horizontal="center"/>
    </xf>
    <xf numFmtId="3" fontId="4" fillId="0" borderId="0" xfId="0" applyNumberFormat="1" applyFont="1" applyAlignment="1">
      <alignment horizontal="right"/>
    </xf>
    <xf numFmtId="167" fontId="12" fillId="5" borderId="0" xfId="10" applyNumberFormat="1" applyFont="1" applyFill="1"/>
    <xf numFmtId="3" fontId="16" fillId="0" borderId="0" xfId="2" applyNumberFormat="1" applyFont="1"/>
    <xf numFmtId="167" fontId="17" fillId="0" borderId="0" xfId="0" applyNumberFormat="1" applyFont="1"/>
    <xf numFmtId="167" fontId="10" fillId="0" borderId="0" xfId="0" applyNumberFormat="1" applyFont="1"/>
    <xf numFmtId="167" fontId="5" fillId="0" borderId="3" xfId="0" applyNumberFormat="1" applyFont="1" applyBorder="1" applyAlignment="1">
      <alignment horizontal="right"/>
    </xf>
    <xf numFmtId="168" fontId="18" fillId="0" borderId="0" xfId="0" applyNumberFormat="1" applyFont="1"/>
    <xf numFmtId="0" fontId="19" fillId="5" borderId="0" xfId="0" applyFont="1" applyFill="1"/>
    <xf numFmtId="167" fontId="4" fillId="0" borderId="2" xfId="0" applyNumberFormat="1" applyFont="1" applyBorder="1"/>
    <xf numFmtId="167" fontId="20" fillId="0" borderId="0" xfId="0" applyNumberFormat="1" applyFont="1"/>
    <xf numFmtId="0" fontId="21" fillId="5" borderId="0" xfId="0" applyFont="1" applyFill="1"/>
    <xf numFmtId="166" fontId="22" fillId="0" borderId="0" xfId="2" applyNumberFormat="1" applyFont="1"/>
    <xf numFmtId="3" fontId="6" fillId="0" borderId="0" xfId="0" applyNumberFormat="1" applyFont="1" applyAlignment="1">
      <alignment horizontal="right"/>
    </xf>
    <xf numFmtId="0" fontId="9" fillId="0" borderId="0" xfId="0" applyFont="1"/>
    <xf numFmtId="165" fontId="15" fillId="5" borderId="0" xfId="10" applyNumberFormat="1" applyFont="1" applyFill="1"/>
    <xf numFmtId="3" fontId="4" fillId="4" borderId="0" xfId="0" applyNumberFormat="1" applyFont="1" applyFill="1"/>
    <xf numFmtId="167" fontId="5" fillId="7" borderId="0" xfId="0" applyNumberFormat="1" applyFont="1" applyFill="1" applyAlignment="1">
      <alignment horizontal="right"/>
    </xf>
    <xf numFmtId="167" fontId="11" fillId="0" borderId="0" xfId="0" applyNumberFormat="1" applyFont="1" applyAlignment="1">
      <alignment horizontal="right"/>
    </xf>
    <xf numFmtId="0" fontId="10" fillId="0" borderId="0" xfId="0" applyFont="1"/>
    <xf numFmtId="167" fontId="9" fillId="0" borderId="0" xfId="0" applyNumberFormat="1" applyFont="1" applyAlignment="1">
      <alignment horizontal="right"/>
    </xf>
    <xf numFmtId="0" fontId="15" fillId="5" borderId="0" xfId="0" applyFont="1" applyFill="1"/>
    <xf numFmtId="3" fontId="5" fillId="0" borderId="0" xfId="0" applyNumberFormat="1" applyFont="1" applyAlignment="1">
      <alignment horizontal="right"/>
    </xf>
    <xf numFmtId="167" fontId="24" fillId="0" borderId="0" xfId="0" applyNumberFormat="1" applyFont="1"/>
    <xf numFmtId="3" fontId="6" fillId="4" borderId="0" xfId="0" applyNumberFormat="1" applyFont="1" applyFill="1" applyAlignment="1">
      <alignment horizontal="left"/>
    </xf>
    <xf numFmtId="167" fontId="25" fillId="0" borderId="0" xfId="0" applyNumberFormat="1" applyFont="1" applyAlignment="1">
      <alignment horizontal="right"/>
    </xf>
    <xf numFmtId="167" fontId="3" fillId="0" borderId="4" xfId="0" applyNumberFormat="1" applyFont="1" applyBorder="1" applyAlignment="1">
      <alignment horizontal="right"/>
    </xf>
    <xf numFmtId="1" fontId="6" fillId="4" borderId="0" xfId="0" applyNumberFormat="1" applyFont="1" applyFill="1" applyAlignment="1">
      <alignment horizontal="center"/>
    </xf>
    <xf numFmtId="0" fontId="13" fillId="6" borderId="0" xfId="0" applyFont="1" applyFill="1"/>
    <xf numFmtId="3" fontId="6" fillId="4" borderId="0" xfId="0" applyNumberFormat="1" applyFont="1" applyFill="1"/>
    <xf numFmtId="0" fontId="13" fillId="0" borderId="0" xfId="0" applyFont="1"/>
    <xf numFmtId="3" fontId="20" fillId="0" borderId="0" xfId="2" applyNumberFormat="1" applyFont="1"/>
    <xf numFmtId="0" fontId="15" fillId="5" borderId="0" xfId="0" applyFont="1" applyFill="1" applyAlignment="1">
      <alignment horizontal="center"/>
    </xf>
    <xf numFmtId="0" fontId="11" fillId="0" borderId="0" xfId="0" applyFont="1"/>
    <xf numFmtId="49" fontId="15" fillId="5" borderId="0" xfId="0" applyNumberFormat="1" applyFont="1" applyFill="1" applyAlignment="1">
      <alignment horizontal="right"/>
    </xf>
    <xf numFmtId="3" fontId="4" fillId="4" borderId="2" xfId="0" applyNumberFormat="1" applyFont="1" applyFill="1" applyBorder="1"/>
    <xf numFmtId="167" fontId="4" fillId="7" borderId="5" xfId="0" applyNumberFormat="1" applyFont="1" applyFill="1" applyBorder="1"/>
    <xf numFmtId="167" fontId="3" fillId="7" borderId="6" xfId="0" applyNumberFormat="1" applyFont="1" applyFill="1" applyBorder="1" applyAlignment="1">
      <alignment horizontal="right"/>
    </xf>
    <xf numFmtId="167" fontId="26" fillId="0" borderId="0" xfId="0" applyNumberFormat="1" applyFont="1"/>
    <xf numFmtId="0" fontId="3" fillId="0" borderId="2" xfId="0" applyFont="1" applyBorder="1"/>
    <xf numFmtId="3" fontId="9" fillId="0" borderId="0" xfId="0" applyNumberFormat="1" applyFont="1" applyAlignment="1">
      <alignment horizontal="right"/>
    </xf>
    <xf numFmtId="168" fontId="19" fillId="5" borderId="0" xfId="0" applyNumberFormat="1" applyFont="1" applyFill="1" applyAlignment="1">
      <alignment horizontal="right"/>
    </xf>
    <xf numFmtId="170" fontId="11" fillId="0" borderId="0" xfId="0" applyNumberFormat="1" applyFont="1" applyAlignment="1">
      <alignment horizontal="left"/>
    </xf>
    <xf numFmtId="167" fontId="11" fillId="0" borderId="4" xfId="0" applyNumberFormat="1" applyFont="1" applyBorder="1" applyAlignment="1">
      <alignment horizontal="right"/>
    </xf>
    <xf numFmtId="167" fontId="3" fillId="7" borderId="0" xfId="0" applyNumberFormat="1" applyFont="1" applyFill="1" applyAlignment="1">
      <alignment horizontal="right"/>
    </xf>
    <xf numFmtId="166" fontId="22" fillId="0" borderId="0" xfId="0" applyNumberFormat="1" applyFont="1"/>
    <xf numFmtId="0" fontId="13" fillId="5" borderId="0" xfId="0" applyFont="1" applyFill="1"/>
    <xf numFmtId="0" fontId="3" fillId="0" borderId="0" xfId="1" applyFont="1" applyFill="1"/>
    <xf numFmtId="3" fontId="5" fillId="7" borderId="0" xfId="0" applyNumberFormat="1" applyFont="1" applyFill="1" applyAlignment="1">
      <alignment horizontal="right"/>
    </xf>
    <xf numFmtId="0" fontId="11" fillId="0" borderId="7" xfId="0" applyFont="1" applyBorder="1" applyAlignment="1">
      <alignment horizontal="left" indent="1"/>
    </xf>
    <xf numFmtId="0" fontId="14" fillId="0" borderId="0" xfId="0" applyFont="1"/>
    <xf numFmtId="14" fontId="9" fillId="0" borderId="0" xfId="0" applyNumberFormat="1" applyFont="1"/>
    <xf numFmtId="3" fontId="4" fillId="0" borderId="0" xfId="0" applyNumberFormat="1" applyFont="1" applyAlignment="1">
      <alignment horizontal="left"/>
    </xf>
    <xf numFmtId="0" fontId="27" fillId="0" borderId="0" xfId="0" applyFont="1"/>
    <xf numFmtId="0" fontId="8" fillId="0" borderId="0" xfId="0" applyFont="1"/>
    <xf numFmtId="0" fontId="18" fillId="5" borderId="0" xfId="0" applyFont="1" applyFill="1"/>
    <xf numFmtId="0" fontId="28" fillId="0" borderId="0" xfId="0" applyFont="1"/>
    <xf numFmtId="0" fontId="18" fillId="0" borderId="0" xfId="0" applyFont="1"/>
    <xf numFmtId="167" fontId="11" fillId="0" borderId="0" xfId="0" applyNumberFormat="1" applyFont="1" applyAlignment="1">
      <alignment horizontal="left"/>
    </xf>
    <xf numFmtId="0" fontId="29" fillId="0" borderId="0" xfId="0" applyFont="1"/>
    <xf numFmtId="167" fontId="5" fillId="7" borderId="3" xfId="0" applyNumberFormat="1" applyFont="1" applyFill="1" applyBorder="1" applyAlignment="1">
      <alignment horizontal="right"/>
    </xf>
    <xf numFmtId="167" fontId="11" fillId="7" borderId="4" xfId="0" applyNumberFormat="1" applyFont="1" applyFill="1" applyBorder="1" applyAlignment="1">
      <alignment horizontal="right"/>
    </xf>
    <xf numFmtId="167" fontId="11" fillId="7" borderId="0" xfId="0" applyNumberFormat="1" applyFont="1" applyFill="1" applyAlignment="1">
      <alignment horizontal="right"/>
    </xf>
    <xf numFmtId="3" fontId="6" fillId="7" borderId="2" xfId="0" applyNumberFormat="1" applyFont="1" applyFill="1" applyBorder="1"/>
    <xf numFmtId="0" fontId="5" fillId="0" borderId="0" xfId="1" applyFont="1" applyFill="1"/>
    <xf numFmtId="0" fontId="13" fillId="6" borderId="0" xfId="0" applyFont="1" applyFill="1" applyAlignment="1">
      <alignment horizontal="left"/>
    </xf>
    <xf numFmtId="169" fontId="7" fillId="0" borderId="0" xfId="0" applyNumberFormat="1" applyFont="1"/>
    <xf numFmtId="167" fontId="30" fillId="0" borderId="0" xfId="8" applyNumberFormat="1" applyFont="1"/>
    <xf numFmtId="167" fontId="3" fillId="0" borderId="8" xfId="0" applyNumberFormat="1" applyFont="1" applyBorder="1" applyAlignment="1">
      <alignment horizontal="right"/>
    </xf>
    <xf numFmtId="3" fontId="6" fillId="0" borderId="0" xfId="0" applyNumberFormat="1" applyFont="1" applyAlignment="1">
      <alignment horizontal="left"/>
    </xf>
    <xf numFmtId="0" fontId="6" fillId="7" borderId="2" xfId="0" applyFont="1" applyFill="1" applyBorder="1"/>
    <xf numFmtId="0" fontId="13" fillId="0" borderId="0" xfId="0" applyFont="1" applyAlignment="1">
      <alignment horizontal="left"/>
    </xf>
    <xf numFmtId="49" fontId="15" fillId="5" borderId="0" xfId="0" applyNumberFormat="1" applyFont="1" applyFill="1"/>
    <xf numFmtId="0" fontId="10" fillId="5" borderId="0" xfId="0" applyFont="1" applyFill="1" applyAlignment="1">
      <alignment horizontal="left"/>
    </xf>
    <xf numFmtId="3" fontId="4" fillId="7" borderId="2" xfId="0" applyNumberFormat="1" applyFont="1" applyFill="1" applyBorder="1"/>
    <xf numFmtId="3" fontId="6" fillId="4" borderId="2" xfId="0" applyNumberFormat="1" applyFont="1" applyFill="1" applyBorder="1"/>
    <xf numFmtId="0" fontId="5" fillId="0" borderId="2" xfId="0" applyFont="1" applyBorder="1"/>
    <xf numFmtId="0" fontId="13" fillId="5" borderId="0" xfId="0" applyFont="1" applyFill="1" applyAlignment="1">
      <alignment horizontal="right"/>
    </xf>
    <xf numFmtId="3" fontId="11" fillId="4" borderId="0" xfId="0" applyNumberFormat="1" applyFont="1" applyFill="1" applyAlignment="1">
      <alignment horizontal="center"/>
    </xf>
    <xf numFmtId="3" fontId="11" fillId="4" borderId="0" xfId="0" applyNumberFormat="1" applyFont="1" applyFill="1"/>
    <xf numFmtId="0" fontId="31" fillId="0" borderId="0" xfId="0" applyFont="1"/>
    <xf numFmtId="3" fontId="11" fillId="4" borderId="0" xfId="0" applyNumberFormat="1" applyFont="1" applyFill="1" applyAlignment="1">
      <alignment horizontal="left"/>
    </xf>
    <xf numFmtId="1" fontId="11" fillId="4" borderId="0" xfId="0" applyNumberFormat="1" applyFont="1" applyFill="1" applyAlignment="1">
      <alignment horizontal="left"/>
    </xf>
    <xf numFmtId="0" fontId="9" fillId="0" borderId="9" xfId="0" applyFont="1" applyBorder="1"/>
    <xf numFmtId="0" fontId="17" fillId="0" borderId="0" xfId="0" applyFont="1"/>
    <xf numFmtId="3" fontId="3" fillId="7" borderId="0" xfId="0" applyNumberFormat="1" applyFont="1" applyFill="1" applyAlignment="1">
      <alignment horizontal="right"/>
    </xf>
    <xf numFmtId="0" fontId="22" fillId="0" borderId="0" xfId="0" applyFont="1"/>
    <xf numFmtId="0" fontId="10" fillId="4" borderId="0" xfId="0" applyFont="1" applyFill="1"/>
    <xf numFmtId="0" fontId="12" fillId="5" borderId="0" xfId="0" applyFont="1" applyFill="1" applyAlignment="1">
      <alignment horizontal="left" indent="1"/>
    </xf>
    <xf numFmtId="0" fontId="33" fillId="4" borderId="0" xfId="0" applyFont="1" applyFill="1"/>
    <xf numFmtId="0" fontId="18" fillId="0" borderId="0" xfId="0" applyFont="1" applyAlignment="1">
      <alignment horizontal="left"/>
    </xf>
    <xf numFmtId="0" fontId="12" fillId="5" borderId="0" xfId="0" applyFont="1" applyFill="1"/>
    <xf numFmtId="0" fontId="13" fillId="0" borderId="0" xfId="0" applyFont="1" applyAlignment="1">
      <alignment horizontal="right"/>
    </xf>
    <xf numFmtId="0" fontId="15" fillId="5" borderId="0" xfId="0" applyFont="1" applyFill="1" applyAlignment="1">
      <alignment horizontal="left" indent="1"/>
    </xf>
    <xf numFmtId="3" fontId="11" fillId="0" borderId="4" xfId="0" applyNumberFormat="1" applyFont="1" applyBorder="1" applyAlignment="1">
      <alignment horizontal="left"/>
    </xf>
    <xf numFmtId="165" fontId="15" fillId="0" borderId="0" xfId="10" applyNumberFormat="1" applyFont="1"/>
    <xf numFmtId="167" fontId="34" fillId="0" borderId="0" xfId="8" applyNumberFormat="1" applyFont="1"/>
    <xf numFmtId="3" fontId="30" fillId="0" borderId="0" xfId="9" applyNumberFormat="1" applyFont="1"/>
    <xf numFmtId="0" fontId="15" fillId="5" borderId="6" xfId="0" applyFont="1" applyFill="1" applyBorder="1" applyAlignment="1">
      <alignment horizontal="right"/>
    </xf>
    <xf numFmtId="168" fontId="19" fillId="5" borderId="6" xfId="0" applyNumberFormat="1" applyFont="1" applyFill="1" applyBorder="1" applyAlignment="1">
      <alignment horizontal="right"/>
    </xf>
    <xf numFmtId="0" fontId="10" fillId="0" borderId="0" xfId="0" applyFont="1" applyAlignment="1">
      <alignment horizontal="right"/>
    </xf>
    <xf numFmtId="0" fontId="24" fillId="0" borderId="0" xfId="0" applyFont="1"/>
    <xf numFmtId="0" fontId="11" fillId="0" borderId="4" xfId="1" applyFont="1" applyFill="1" applyBorder="1"/>
    <xf numFmtId="0" fontId="35" fillId="4" borderId="0" xfId="0" applyFont="1" applyFill="1"/>
    <xf numFmtId="0" fontId="3" fillId="0" borderId="4" xfId="1" applyFont="1" applyFill="1" applyBorder="1"/>
    <xf numFmtId="165" fontId="12" fillId="0" borderId="0" xfId="10" applyNumberFormat="1" applyFont="1"/>
    <xf numFmtId="3" fontId="9" fillId="4" borderId="0" xfId="0" applyNumberFormat="1" applyFont="1" applyFill="1"/>
    <xf numFmtId="3" fontId="3" fillId="4" borderId="8" xfId="0" applyNumberFormat="1" applyFont="1" applyFill="1" applyBorder="1"/>
    <xf numFmtId="0" fontId="13" fillId="6" borderId="0" xfId="0" applyFont="1" applyFill="1" applyAlignment="1">
      <alignment horizontal="right"/>
    </xf>
    <xf numFmtId="0" fontId="16" fillId="0" borderId="0" xfId="0" applyFont="1"/>
    <xf numFmtId="0" fontId="15" fillId="0" borderId="0" xfId="0" applyFont="1" applyAlignment="1">
      <alignment horizontal="right"/>
    </xf>
    <xf numFmtId="0" fontId="5" fillId="0" borderId="3" xfId="1" applyFont="1" applyFill="1" applyBorder="1"/>
    <xf numFmtId="167" fontId="7" fillId="0" borderId="0" xfId="0" applyNumberFormat="1" applyFont="1" applyAlignment="1">
      <alignment horizontal="right"/>
    </xf>
    <xf numFmtId="3" fontId="25" fillId="4" borderId="0" xfId="0" applyNumberFormat="1" applyFont="1" applyFill="1"/>
    <xf numFmtId="0" fontId="6" fillId="0" borderId="0" xfId="0" applyFont="1"/>
    <xf numFmtId="0" fontId="10" fillId="5" borderId="6" xfId="0" applyFont="1" applyFill="1" applyBorder="1"/>
    <xf numFmtId="168" fontId="19" fillId="0" borderId="0" xfId="0" applyNumberFormat="1" applyFont="1" applyAlignment="1">
      <alignment horizontal="right"/>
    </xf>
    <xf numFmtId="167" fontId="3" fillId="7" borderId="10" xfId="0" applyNumberFormat="1" applyFont="1" applyFill="1" applyBorder="1" applyAlignment="1">
      <alignment horizontal="right"/>
    </xf>
    <xf numFmtId="0" fontId="4" fillId="0" borderId="7" xfId="0" applyFont="1" applyBorder="1" applyAlignment="1">
      <alignment horizontal="left" vertical="center" indent="1"/>
    </xf>
    <xf numFmtId="3" fontId="6" fillId="0" borderId="3" xfId="0" applyNumberFormat="1" applyFont="1" applyBorder="1" applyAlignment="1">
      <alignment horizontal="left"/>
    </xf>
    <xf numFmtId="0" fontId="13" fillId="0" borderId="6" xfId="0" applyFont="1" applyBorder="1" applyAlignment="1">
      <alignment horizontal="center"/>
    </xf>
    <xf numFmtId="3" fontId="9" fillId="4" borderId="0" xfId="0" applyNumberFormat="1" applyFont="1" applyFill="1" applyAlignment="1">
      <alignment horizontal="left"/>
    </xf>
    <xf numFmtId="0" fontId="36" fillId="4" borderId="0" xfId="0" applyFont="1" applyFill="1"/>
    <xf numFmtId="0" fontId="10" fillId="5" borderId="0" xfId="0" applyFont="1" applyFill="1" applyAlignment="1">
      <alignment horizontal="right"/>
    </xf>
    <xf numFmtId="0" fontId="32" fillId="0" borderId="0" xfId="0" applyFont="1"/>
    <xf numFmtId="170" fontId="18" fillId="0" borderId="0" xfId="0" applyNumberFormat="1" applyFont="1" applyAlignment="1">
      <alignment horizontal="left"/>
    </xf>
    <xf numFmtId="167" fontId="7" fillId="7" borderId="6" xfId="0" applyNumberFormat="1" applyFont="1" applyFill="1" applyBorder="1" applyAlignment="1">
      <alignment horizontal="right"/>
    </xf>
    <xf numFmtId="0" fontId="13" fillId="6" borderId="6" xfId="0" applyFont="1" applyFill="1" applyBorder="1" applyAlignment="1">
      <alignment horizontal="center"/>
    </xf>
    <xf numFmtId="0" fontId="37" fillId="5" borderId="0" xfId="0" applyFont="1" applyFill="1" applyAlignment="1">
      <alignment horizontal="right"/>
    </xf>
    <xf numFmtId="3" fontId="4" fillId="0" borderId="4" xfId="0" applyNumberFormat="1" applyFont="1" applyBorder="1" applyAlignment="1">
      <alignment horizontal="left"/>
    </xf>
    <xf numFmtId="167" fontId="3" fillId="7" borderId="12" xfId="0" applyNumberFormat="1" applyFont="1" applyFill="1" applyBorder="1" applyAlignment="1">
      <alignment horizontal="right"/>
    </xf>
    <xf numFmtId="0" fontId="27" fillId="0" borderId="0" xfId="0" applyFont="1" applyAlignment="1">
      <alignment horizontal="center"/>
    </xf>
    <xf numFmtId="1" fontId="9" fillId="4" borderId="0" xfId="0" applyNumberFormat="1" applyFont="1" applyFill="1" applyAlignment="1">
      <alignment horizontal="center"/>
    </xf>
    <xf numFmtId="49" fontId="10" fillId="4" borderId="0" xfId="0" applyNumberFormat="1" applyFont="1" applyFill="1"/>
    <xf numFmtId="0" fontId="11" fillId="5" borderId="0" xfId="0" applyFont="1" applyFill="1"/>
    <xf numFmtId="0" fontId="6" fillId="0" borderId="7" xfId="0" applyFont="1" applyBorder="1" applyAlignment="1">
      <alignment horizontal="left" vertical="center" indent="1"/>
    </xf>
    <xf numFmtId="3" fontId="20" fillId="7" borderId="0" xfId="2" applyNumberFormat="1" applyFont="1" applyFill="1"/>
    <xf numFmtId="0" fontId="27" fillId="0" borderId="0" xfId="0" applyFont="1" applyAlignment="1">
      <alignment horizontal="left"/>
    </xf>
    <xf numFmtId="0" fontId="39" fillId="0" borderId="0" xfId="0" applyFont="1"/>
    <xf numFmtId="0" fontId="20" fillId="0" borderId="0" xfId="0" applyFont="1"/>
    <xf numFmtId="0" fontId="19" fillId="0" borderId="0" xfId="0" applyFont="1"/>
    <xf numFmtId="0" fontId="0" fillId="0" borderId="0" xfId="0" applyAlignment="1">
      <alignment horizontal="center"/>
    </xf>
    <xf numFmtId="167" fontId="7" fillId="7" borderId="0" xfId="0" applyNumberFormat="1" applyFont="1" applyFill="1" applyAlignment="1">
      <alignment horizontal="right"/>
    </xf>
    <xf numFmtId="0" fontId="0" fillId="0" borderId="0" xfId="0" applyAlignment="1">
      <alignment horizontal="left"/>
    </xf>
    <xf numFmtId="0" fontId="40" fillId="0" borderId="0" xfId="0" quotePrefix="1" applyFont="1"/>
    <xf numFmtId="49" fontId="32" fillId="0" borderId="0" xfId="0" applyNumberFormat="1" applyFont="1" applyAlignment="1">
      <alignment vertical="center"/>
    </xf>
    <xf numFmtId="0" fontId="26" fillId="0" borderId="0" xfId="0" applyFont="1"/>
    <xf numFmtId="0" fontId="32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165" fontId="11" fillId="5" borderId="0" xfId="10" applyNumberFormat="1" applyFont="1" applyFill="1"/>
    <xf numFmtId="167" fontId="3" fillId="7" borderId="4" xfId="0" applyNumberFormat="1" applyFont="1" applyFill="1" applyBorder="1" applyAlignment="1">
      <alignment horizontal="right"/>
    </xf>
    <xf numFmtId="0" fontId="32" fillId="0" borderId="11" xfId="0" applyFont="1" applyBorder="1" applyAlignment="1">
      <alignment horizontal="left" vertical="center" indent="1"/>
    </xf>
    <xf numFmtId="0" fontId="37" fillId="5" borderId="0" xfId="0" applyFont="1" applyFill="1"/>
    <xf numFmtId="0" fontId="40" fillId="0" borderId="0" xfId="0" applyFont="1"/>
    <xf numFmtId="14" fontId="10" fillId="4" borderId="0" xfId="0" applyNumberFormat="1" applyFont="1" applyFill="1" applyAlignment="1">
      <alignment horizontal="left"/>
    </xf>
    <xf numFmtId="0" fontId="34" fillId="0" borderId="0" xfId="8" applyFont="1"/>
    <xf numFmtId="0" fontId="9" fillId="5" borderId="0" xfId="0" applyFont="1" applyFill="1"/>
    <xf numFmtId="0" fontId="13" fillId="5" borderId="0" xfId="0" applyFont="1" applyFill="1" applyAlignment="1">
      <alignment horizontal="center"/>
    </xf>
    <xf numFmtId="49" fontId="0" fillId="0" borderId="0" xfId="0" applyNumberFormat="1"/>
    <xf numFmtId="49" fontId="0" fillId="3" borderId="1" xfId="0" applyNumberFormat="1" applyFill="1" applyBorder="1" applyAlignment="1">
      <alignment horizontal="center" vertical="center" wrapText="1"/>
    </xf>
    <xf numFmtId="171" fontId="32" fillId="0" borderId="0" xfId="0" applyNumberFormat="1" applyFont="1" applyAlignment="1">
      <alignment horizontal="left" vertical="center"/>
    </xf>
    <xf numFmtId="0" fontId="38" fillId="5" borderId="14" xfId="0" applyFont="1" applyFill="1" applyBorder="1" applyAlignment="1">
      <alignment horizontal="center" vertical="center"/>
    </xf>
    <xf numFmtId="0" fontId="38" fillId="5" borderId="13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left" indent="1"/>
    </xf>
    <xf numFmtId="0" fontId="11" fillId="0" borderId="0" xfId="0" applyFont="1" applyBorder="1" applyAlignment="1">
      <alignment horizontal="left" indent="1"/>
    </xf>
    <xf numFmtId="167" fontId="23" fillId="0" borderId="11" xfId="0" applyNumberFormat="1" applyFont="1" applyBorder="1" applyAlignment="1">
      <alignment horizontal="left" vertical="top" indent="1"/>
    </xf>
    <xf numFmtId="167" fontId="23" fillId="0" borderId="9" xfId="0" applyNumberFormat="1" applyFont="1" applyBorder="1" applyAlignment="1">
      <alignment horizontal="left" vertical="top" indent="1"/>
    </xf>
    <xf numFmtId="167" fontId="23" fillId="0" borderId="0" xfId="0" applyNumberFormat="1" applyFont="1" applyAlignment="1">
      <alignment horizontal="left" vertical="top" indent="1"/>
    </xf>
    <xf numFmtId="0" fontId="15" fillId="5" borderId="0" xfId="0" applyFont="1" applyFill="1" applyAlignment="1">
      <alignment horizontal="right"/>
    </xf>
    <xf numFmtId="0" fontId="11" fillId="0" borderId="0" xfId="0" applyFont="1" applyAlignment="1">
      <alignment horizontal="left" indent="1"/>
    </xf>
    <xf numFmtId="165" fontId="23" fillId="0" borderId="11" xfId="0" applyNumberFormat="1" applyFont="1" applyBorder="1" applyAlignment="1">
      <alignment horizontal="left" vertical="top" indent="1"/>
    </xf>
    <xf numFmtId="165" fontId="23" fillId="0" borderId="9" xfId="0" applyNumberFormat="1" applyFont="1" applyBorder="1" applyAlignment="1">
      <alignment horizontal="left" vertical="top" indent="1"/>
    </xf>
    <xf numFmtId="165" fontId="23" fillId="0" borderId="0" xfId="0" applyNumberFormat="1" applyFont="1" applyAlignment="1">
      <alignment horizontal="left" vertical="top" indent="1"/>
    </xf>
  </cellXfs>
  <cellStyles count="12">
    <cellStyle name="60 % - uthevingsfarge 3" xfId="1" builtinId="40"/>
    <cellStyle name="Comma 2" xfId="3"/>
    <cellStyle name="Comma 2 2" xfId="4"/>
    <cellStyle name="Comma 3" xfId="5"/>
    <cellStyle name="Komma" xfId="2" builtinId="3"/>
    <cellStyle name="Komma 2" xfId="6"/>
    <cellStyle name="Komma 2 2" xfId="7"/>
    <cellStyle name="Normal" xfId="0" builtinId="0"/>
    <cellStyle name="Normal 2" xfId="8"/>
    <cellStyle name="Normal_2. Resultatrapport" xfId="9"/>
    <cellStyle name="Percent 2" xfId="11"/>
    <cellStyle name="Prosent" xfId="1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nb-NO" sz="1800" b="1"/>
              <a:t>Egenkapital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Balanse!$B$109</c:f>
              <c:strCache>
                <c:ptCount val="1"/>
                <c:pt idx="0">
                  <c:v>Utvikling Egenkapital</c:v>
                </c:pt>
              </c:strCache>
            </c:strRef>
          </c:tx>
          <c:marker>
            <c:symbol val="none"/>
          </c:marker>
          <c:cat>
            <c:numRef>
              <c:f>Balanse!$F$108:$R$108</c:f>
              <c:numCache>
                <c:formatCode>General</c:formatCode>
                <c:ptCount val="13"/>
              </c:numCache>
            </c:numRef>
          </c:cat>
          <c:val>
            <c:numRef>
              <c:f>Balanse!$F$109:$R$109</c:f>
              <c:numCache>
                <c:formatCode>#\ ##0_ ;[Red]\-#\ ##0\ </c:formatCode>
                <c:ptCount val="13"/>
                <c:pt idx="0">
                  <c:v>-3015.23</c:v>
                </c:pt>
                <c:pt idx="1">
                  <c:v>-8684.2000000000007</c:v>
                </c:pt>
                <c:pt idx="2">
                  <c:v>-32241.51</c:v>
                </c:pt>
                <c:pt idx="3">
                  <c:v>23668.14</c:v>
                </c:pt>
                <c:pt idx="4">
                  <c:v>127403.73</c:v>
                </c:pt>
                <c:pt idx="5">
                  <c:v>-33789.805999999997</c:v>
                </c:pt>
                <c:pt idx="6">
                  <c:v>-16519.694</c:v>
                </c:pt>
                <c:pt idx="7">
                  <c:v>26349.232</c:v>
                </c:pt>
                <c:pt idx="8">
                  <c:v>18352.682000000001</c:v>
                </c:pt>
                <c:pt idx="9">
                  <c:v>-113910.982</c:v>
                </c:pt>
                <c:pt idx="10">
                  <c:v>-14147.888000000001</c:v>
                </c:pt>
                <c:pt idx="11">
                  <c:v>17275.09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7D-4618-8F68-62A5925269EB}"/>
            </c:ext>
          </c:extLst>
        </c:ser>
        <c:ser>
          <c:idx val="1"/>
          <c:order val="1"/>
          <c:tx>
            <c:strRef>
              <c:f>Balanse!$B$113</c:f>
              <c:strCache>
                <c:ptCount val="1"/>
                <c:pt idx="0">
                  <c:v>Akkumulert Egenkapital</c:v>
                </c:pt>
              </c:strCache>
            </c:strRef>
          </c:tx>
          <c:marker>
            <c:symbol val="none"/>
          </c:marker>
          <c:val>
            <c:numRef>
              <c:f>Balanse!$F$113:$R$113</c:f>
              <c:numCache>
                <c:formatCode>#\ ##0_ ;[Red]\-#\ ##0\ </c:formatCode>
                <c:ptCount val="13"/>
                <c:pt idx="0">
                  <c:v>-1221412.6993</c:v>
                </c:pt>
                <c:pt idx="1">
                  <c:v>-1212728.4993</c:v>
                </c:pt>
                <c:pt idx="2">
                  <c:v>-1180486.9893</c:v>
                </c:pt>
                <c:pt idx="3">
                  <c:v>-1204155.1292999999</c:v>
                </c:pt>
                <c:pt idx="4">
                  <c:v>-1331558.8592999999</c:v>
                </c:pt>
                <c:pt idx="5">
                  <c:v>-1297769.0532999998</c:v>
                </c:pt>
                <c:pt idx="6">
                  <c:v>-1281249.3592999999</c:v>
                </c:pt>
                <c:pt idx="7">
                  <c:v>-1307598.5913</c:v>
                </c:pt>
                <c:pt idx="8">
                  <c:v>-1325951.2733</c:v>
                </c:pt>
                <c:pt idx="9">
                  <c:v>-1212040.2912999999</c:v>
                </c:pt>
                <c:pt idx="10">
                  <c:v>-1197892.4032999999</c:v>
                </c:pt>
                <c:pt idx="11">
                  <c:v>-1215167.4933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7D-4618-8F68-62A592526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9702256"/>
        <c:axId val="1"/>
      </c:lineChart>
      <c:catAx>
        <c:axId val="419702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1"/>
      </c:catAx>
      <c:valAx>
        <c:axId val="1"/>
        <c:scaling>
          <c:orientation val="minMax"/>
        </c:scaling>
        <c:delete val="0"/>
        <c:axPos val="l"/>
        <c:majorGridlines/>
        <c:numFmt formatCode="#,##0_ ;[Red]\-#,##0\ " sourceLinked="0"/>
        <c:majorTickMark val="out"/>
        <c:minorTickMark val="none"/>
        <c:tickLblPos val="nextTo"/>
        <c:crossAx val="419702256"/>
        <c:crosses val="autoZero"/>
        <c:crossBetween val="between"/>
      </c:valAx>
      <c:spPr>
        <a:solidFill>
          <a:schemeClr val="lt1">
            <a:lumMod val="95000"/>
          </a:schemeClr>
        </a:solidFill>
      </c:spPr>
    </c:plotArea>
    <c:legend>
      <c:legendPos val="r"/>
      <c:layout/>
      <c:overlay val="0"/>
    </c:legend>
    <c:plotVisOnly val="0"/>
    <c:dispBlanksAs val="span"/>
    <c:showDLblsOverMax val="0"/>
  </c:chart>
  <c:spPr>
    <a:solidFill>
      <a:schemeClr val="lt1">
        <a:lumMod val="95000"/>
      </a:schemeClr>
    </a:solidFill>
  </c:spPr>
  <c:txPr>
    <a:bodyPr/>
    <a:lstStyle/>
    <a:p>
      <a:pPr>
        <a:defRPr>
          <a:latin typeface="Roboto"/>
        </a:defRPr>
      </a:pPr>
      <a:endParaRPr lang="nb-NO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800" b="1"/>
              <a:t>Resultat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5323673971647839E-2"/>
          <c:y val="0.15267629082004461"/>
          <c:w val="0.5834109354216902"/>
          <c:h val="0.73134405264617208"/>
        </c:manualLayout>
      </c:layout>
      <c:lineChart>
        <c:grouping val="standard"/>
        <c:varyColors val="0"/>
        <c:ser>
          <c:idx val="0"/>
          <c:order val="0"/>
          <c:tx>
            <c:strRef>
              <c:f>'OSR_Sheet1 (2...642a1ee9_GZH6UH'!$B$16</c:f>
              <c:strCache>
                <c:ptCount val="1"/>
                <c:pt idx="0">
                  <c:v>Sum salg</c:v>
                </c:pt>
              </c:strCache>
            </c:strRef>
          </c:tx>
          <c:spPr>
            <a:ln>
              <a:solidFill>
                <a:srgbClr val="37485A"/>
              </a:solidFill>
            </a:ln>
          </c:spPr>
          <c:marker>
            <c:symbol val="none"/>
          </c:marker>
          <c:cat>
            <c:numRef>
              <c:f>'OSR_Sheet1 (2...642a1ee9_GZH6UH'!$D$11:$E$11</c:f>
              <c:numCache>
                <c:formatCode>General</c:formatCode>
                <c:ptCount val="2"/>
                <c:pt idx="0" formatCode="@">
                  <c:v>0</c:v>
                </c:pt>
              </c:numCache>
            </c:numRef>
          </c:cat>
          <c:val>
            <c:numRef>
              <c:f>'OSR_Sheet1 (2...642a1ee9_GZH6UH'!$D$16:$E$16</c:f>
              <c:numCache>
                <c:formatCode>#\ ##0_ ;[Red]\-#\ ##0\ </c:formatCode>
                <c:ptCount val="2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84-40BF-AE13-3BB97AD5F93B}"/>
            </c:ext>
          </c:extLst>
        </c:ser>
        <c:ser>
          <c:idx val="2"/>
          <c:order val="1"/>
          <c:tx>
            <c:strRef>
              <c:f>'OSR_Sheet1 (2...642a1ee9_GZH6UH'!$B$62</c:f>
              <c:strCache>
                <c:ptCount val="1"/>
                <c:pt idx="0">
                  <c:v>Resultat før skatt</c:v>
                </c:pt>
              </c:strCache>
            </c:strRef>
          </c:tx>
          <c:spPr>
            <a:ln>
              <a:solidFill>
                <a:srgbClr val="FFC711"/>
              </a:solidFill>
            </a:ln>
          </c:spPr>
          <c:marker>
            <c:symbol val="none"/>
          </c:marker>
          <c:cat>
            <c:numRef>
              <c:f>'OSR_Sheet1 (2...642a1ee9_GZH6UH'!$D$11:$E$11</c:f>
              <c:numCache>
                <c:formatCode>General</c:formatCode>
                <c:ptCount val="2"/>
                <c:pt idx="0" formatCode="@">
                  <c:v>0</c:v>
                </c:pt>
              </c:numCache>
            </c:numRef>
          </c:cat>
          <c:val>
            <c:numRef>
              <c:f>'OSR_Sheet1 (2...642a1ee9_GZH6UH'!$D$62:$E$62</c:f>
              <c:numCache>
                <c:formatCode>#\ ##0_ ;[Red]\-#\ ##0\ </c:formatCode>
                <c:ptCount val="2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84-40BF-AE13-3BB97AD5F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9691104"/>
        <c:axId val="1"/>
      </c:lineChart>
      <c:catAx>
        <c:axId val="419691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1"/>
      </c:catAx>
      <c:valAx>
        <c:axId val="1"/>
        <c:scaling>
          <c:orientation val="minMax"/>
        </c:scaling>
        <c:delete val="0"/>
        <c:axPos val="l"/>
        <c:majorGridlines/>
        <c:numFmt formatCode="#\ ##0_ ;[Red]\-#\ ##0\ " sourceLinked="1"/>
        <c:majorTickMark val="out"/>
        <c:minorTickMark val="none"/>
        <c:tickLblPos val="nextTo"/>
        <c:crossAx val="419691104"/>
        <c:crosses val="autoZero"/>
        <c:crossBetween val="between"/>
      </c:valAx>
      <c:spPr>
        <a:solidFill>
          <a:schemeClr val="lt1">
            <a:lumMod val="95000"/>
          </a:schemeClr>
        </a:solidFill>
      </c:spPr>
    </c:plotArea>
    <c:legend>
      <c:legendPos val="r"/>
      <c:overlay val="0"/>
    </c:legend>
    <c:plotVisOnly val="0"/>
    <c:dispBlanksAs val="gap"/>
    <c:showDLblsOverMax val="0"/>
  </c:chart>
  <c:spPr>
    <a:solidFill>
      <a:schemeClr val="lt1">
        <a:lumMod val="95000"/>
      </a:schemeClr>
    </a:solidFill>
  </c:spPr>
  <c:txPr>
    <a:bodyPr/>
    <a:lstStyle/>
    <a:p>
      <a:pPr>
        <a:defRPr>
          <a:latin typeface="Roboto"/>
        </a:defRPr>
      </a:pPr>
      <a:endParaRPr lang="nb-NO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c:style val="2"/>
  <c:chart>
    <c:title>
      <c:overlay val="0"/>
      <c:spPr>
        <a:noFill/>
        <a:ln>
          <a:noFill/>
        </a:ln>
      </c:spPr>
      <c:txPr>
        <a:bodyPr/>
        <a:lstStyle/>
        <a:p>
          <a:pPr>
            <a:defRPr sz="1400" b="0">
              <a:solidFill>
                <a:schemeClr val="dk1">
                  <a:lumMod val="65001"/>
                  <a:lumOff val="34999"/>
                </a:schemeClr>
              </a:solidFill>
              <a:latin typeface="+mn-lt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'Tabeller Grafik'!$B$14</c:f>
              <c:strCache>
                <c:ptCount val="1"/>
                <c:pt idx="0">
                  <c:v>Totalt salg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cat>
            <c:strRef>
              <c:f>'Tabeller Grafik'!$B$14</c:f>
              <c:strCache>
                <c:ptCount val="1"/>
                <c:pt idx="0">
                  <c:v>Totalt salg</c:v>
                </c:pt>
              </c:strCache>
            </c:strRef>
          </c:cat>
          <c:val>
            <c:numRef>
              <c:f>'Tabeller Grafik'!$P$14</c:f>
              <c:numCache>
                <c:formatCode>_(* #\ ##0_);_(* \(#\ ##0\);_(* "-"??_);_(@_)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904D-44E9-97BF-8F2F63A2A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2813520"/>
        <c:axId val="1"/>
      </c:barChart>
      <c:catAx>
        <c:axId val="42281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dk1">
                <a:lumMod val="15000"/>
                <a:lumOff val="85000"/>
              </a:schemeClr>
            </a:solidFill>
          </a:ln>
        </c:spPr>
        <c:txPr>
          <a:bodyPr/>
          <a:lstStyle/>
          <a:p>
            <a:pPr>
              <a:defRPr sz="900">
                <a:solidFill>
                  <a:schemeClr val="dk1">
                    <a:lumMod val="65001"/>
                    <a:lumOff val="34999"/>
                  </a:schemeClr>
                </a:solidFill>
                <a:latin typeface="+mn-lt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</c:spPr>
        </c:majorGridlines>
        <c:numFmt formatCode="_(* #\ ##0_);_(* \(#\ ##0\);_(* &quot;-&quot;??_);_(@_)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chemeClr val="dk1">
                    <a:lumMod val="65001"/>
                    <a:lumOff val="34999"/>
                  </a:schemeClr>
                </a:solidFill>
                <a:latin typeface="+mn-lt"/>
              </a:defRPr>
            </a:pPr>
            <a:endParaRPr lang="nb-NO"/>
          </a:p>
        </c:txPr>
        <c:crossAx val="42281352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lt1"/>
    </a:solidFill>
    <a:ln>
      <a:solidFill>
        <a:schemeClr val="dk1">
          <a:lumMod val="15000"/>
          <a:lumOff val="85000"/>
        </a:schemeClr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c:style val="2"/>
  <c:chart>
    <c:title>
      <c:overlay val="0"/>
      <c:spPr>
        <a:noFill/>
        <a:ln>
          <a:noFill/>
        </a:ln>
      </c:spPr>
      <c:txPr>
        <a:bodyPr/>
        <a:lstStyle/>
        <a:p>
          <a:pPr>
            <a:defRPr sz="1400" b="0">
              <a:solidFill>
                <a:schemeClr val="dk1">
                  <a:lumMod val="65001"/>
                  <a:lumOff val="34999"/>
                </a:schemeClr>
              </a:solidFill>
              <a:latin typeface="+mn-lt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OSR_Sheet1_49...64ce2a1b_RRX9XO!$B$14</c:f>
              <c:strCache>
                <c:ptCount val="1"/>
                <c:pt idx="0">
                  <c:v>Totalt salg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</c:spPr>
          <c:invertIfNegative val="0"/>
          <c:cat>
            <c:strRef>
              <c:f>OSR_Sheet1_49...64ce2a1b_RRX9XO!$B$14</c:f>
              <c:strCache>
                <c:ptCount val="1"/>
                <c:pt idx="0">
                  <c:v>Totalt salg</c:v>
                </c:pt>
              </c:strCache>
            </c:strRef>
          </c:cat>
          <c:val>
            <c:numRef>
              <c:f>OSR_Sheet1_49...64ce2a1b_RRX9XO!$E$14</c:f>
              <c:numCache>
                <c:formatCode>_(* #\ ##0_);_(* \(#\ ##0\);_(* "-"??_);_(@_)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7BF6-4D0B-B3F4-409330E8F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2808272"/>
        <c:axId val="1"/>
      </c:barChart>
      <c:catAx>
        <c:axId val="422808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dk1">
                <a:lumMod val="15000"/>
                <a:lumOff val="85000"/>
              </a:schemeClr>
            </a:solidFill>
          </a:ln>
        </c:spPr>
        <c:txPr>
          <a:bodyPr/>
          <a:lstStyle/>
          <a:p>
            <a:pPr>
              <a:defRPr sz="900">
                <a:solidFill>
                  <a:schemeClr val="dk1">
                    <a:lumMod val="65001"/>
                    <a:lumOff val="34999"/>
                  </a:schemeClr>
                </a:solidFill>
                <a:latin typeface="+mn-lt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</c:spPr>
        </c:majorGridlines>
        <c:numFmt formatCode="_(* #\ ##0_);_(* \(#\ ##0\);_(* &quot;-&quot;??_);_(@_)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chemeClr val="dk1">
                    <a:lumMod val="65001"/>
                    <a:lumOff val="34999"/>
                  </a:schemeClr>
                </a:solidFill>
                <a:latin typeface="+mn-lt"/>
              </a:defRPr>
            </a:pPr>
            <a:endParaRPr lang="nb-NO"/>
          </a:p>
        </c:txPr>
        <c:crossAx val="42280827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lt1"/>
    </a:solidFill>
    <a:ln>
      <a:solidFill>
        <a:schemeClr val="dk1">
          <a:lumMod val="15000"/>
          <a:lumOff val="85000"/>
        </a:schemeClr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nb-NO" sz="1800" b="1"/>
              <a:t>Egenkapital %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Balanse!$B$110</c:f>
              <c:strCache>
                <c:ptCount val="1"/>
                <c:pt idx="0">
                  <c:v>Utvikling Egenkapital %</c:v>
                </c:pt>
              </c:strCache>
            </c:strRef>
          </c:tx>
          <c:marker>
            <c:symbol val="none"/>
          </c:marker>
          <c:cat>
            <c:numRef>
              <c:f>Balanse!$F$108:$R$108</c:f>
              <c:numCache>
                <c:formatCode>General</c:formatCode>
                <c:ptCount val="13"/>
              </c:numCache>
            </c:numRef>
          </c:cat>
          <c:val>
            <c:numRef>
              <c:f>Balanse!$F$110:$R$110</c:f>
              <c:numCache>
                <c:formatCode>0.0\ %</c:formatCode>
                <c:ptCount val="13"/>
                <c:pt idx="0">
                  <c:v>-0.69941893506222508</c:v>
                </c:pt>
                <c:pt idx="1">
                  <c:v>0.23905180868918449</c:v>
                </c:pt>
                <c:pt idx="2">
                  <c:v>0.97618835677407867</c:v>
                </c:pt>
                <c:pt idx="3">
                  <c:v>1.3065427773199028</c:v>
                </c:pt>
                <c:pt idx="4">
                  <c:v>0.78000289094648256</c:v>
                </c:pt>
                <c:pt idx="5">
                  <c:v>-1.0712576529259989</c:v>
                </c:pt>
                <c:pt idx="6">
                  <c:v>-1.1807265548176751</c:v>
                </c:pt>
                <c:pt idx="7">
                  <c:v>-0.38071979899489355</c:v>
                </c:pt>
                <c:pt idx="8">
                  <c:v>1.0001318782260438</c:v>
                </c:pt>
                <c:pt idx="9">
                  <c:v>0.97501848033976191</c:v>
                </c:pt>
                <c:pt idx="10">
                  <c:v>0.21987193679275172</c:v>
                </c:pt>
                <c:pt idx="11">
                  <c:v>0.93380227711431463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E5-45AB-AC23-A594355A8B05}"/>
            </c:ext>
          </c:extLst>
        </c:ser>
        <c:ser>
          <c:idx val="1"/>
          <c:order val="1"/>
          <c:tx>
            <c:strRef>
              <c:f>Balanse!$B$117</c:f>
              <c:strCache>
                <c:ptCount val="1"/>
                <c:pt idx="0">
                  <c:v>Akkumulert Egenkapital i %</c:v>
                </c:pt>
              </c:strCache>
            </c:strRef>
          </c:tx>
          <c:marker>
            <c:symbol val="none"/>
          </c:marker>
          <c:val>
            <c:numRef>
              <c:f>Balanse!$F$117:$R$117</c:f>
              <c:numCache>
                <c:formatCode>0.0\ %</c:formatCode>
                <c:ptCount val="13"/>
                <c:pt idx="0">
                  <c:v>0.94406595933319615</c:v>
                </c:pt>
                <c:pt idx="1">
                  <c:v>0.96443377445079992</c:v>
                </c:pt>
                <c:pt idx="2">
                  <c:v>0.9641167028437253</c:v>
                </c:pt>
                <c:pt idx="3">
                  <c:v>0.96910896628538745</c:v>
                </c:pt>
                <c:pt idx="4">
                  <c:v>0.94713823993082491</c:v>
                </c:pt>
                <c:pt idx="5">
                  <c:v>0.9028472895352494</c:v>
                </c:pt>
                <c:pt idx="6">
                  <c:v>0.88276229677871887</c:v>
                </c:pt>
                <c:pt idx="7">
                  <c:v>0.94602687563946897</c:v>
                </c:pt>
                <c:pt idx="8">
                  <c:v>0.94673576900604806</c:v>
                </c:pt>
                <c:pt idx="9">
                  <c:v>0.94416180091939272</c:v>
                </c:pt>
                <c:pt idx="10">
                  <c:v>0.98238235340670621</c:v>
                </c:pt>
                <c:pt idx="11">
                  <c:v>0.98165633620051629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E5-45AB-AC23-A594355A8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9683560"/>
        <c:axId val="1"/>
      </c:lineChart>
      <c:catAx>
        <c:axId val="419683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1"/>
      </c:catAx>
      <c:valAx>
        <c:axId val="1"/>
        <c:scaling>
          <c:orientation val="minMax"/>
        </c:scaling>
        <c:delete val="0"/>
        <c:axPos val="l"/>
        <c:majorGridlines/>
        <c:numFmt formatCode="0.0\ %" sourceLinked="1"/>
        <c:majorTickMark val="out"/>
        <c:minorTickMark val="none"/>
        <c:tickLblPos val="nextTo"/>
        <c:crossAx val="419683560"/>
        <c:crosses val="autoZero"/>
        <c:crossBetween val="between"/>
      </c:valAx>
      <c:spPr>
        <a:solidFill>
          <a:schemeClr val="lt1">
            <a:lumMod val="95000"/>
          </a:schemeClr>
        </a:solidFill>
      </c:spPr>
    </c:plotArea>
    <c:legend>
      <c:legendPos val="r"/>
      <c:layout/>
      <c:overlay val="0"/>
    </c:legend>
    <c:plotVisOnly val="0"/>
    <c:dispBlanksAs val="span"/>
    <c:showDLblsOverMax val="0"/>
  </c:chart>
  <c:spPr>
    <a:solidFill>
      <a:schemeClr val="lt1">
        <a:lumMod val="95000"/>
      </a:schemeClr>
    </a:solidFill>
  </c:spPr>
  <c:txPr>
    <a:bodyPr/>
    <a:lstStyle/>
    <a:p>
      <a:pPr>
        <a:defRPr>
          <a:latin typeface="Roboto"/>
        </a:defRPr>
      </a:pPr>
      <a:endParaRPr lang="nb-NO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800" b="1"/>
              <a:t>Bank, kontanter, kasse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Balanse!$B$111</c:f>
              <c:strCache>
                <c:ptCount val="1"/>
                <c:pt idx="0">
                  <c:v>Utvikling Bank, kontanter, kasse</c:v>
                </c:pt>
              </c:strCache>
            </c:strRef>
          </c:tx>
          <c:marker>
            <c:symbol val="none"/>
          </c:marker>
          <c:cat>
            <c:numRef>
              <c:f>Balanse!$F$108:$R$108</c:f>
              <c:numCache>
                <c:formatCode>General</c:formatCode>
                <c:ptCount val="13"/>
              </c:numCache>
            </c:numRef>
          </c:cat>
          <c:val>
            <c:numRef>
              <c:f>Balanse!$F$111:$R$111</c:f>
              <c:numCache>
                <c:formatCode>#\ ##0_ ;[Red]\-#\ ##0\ </c:formatCode>
                <c:ptCount val="13"/>
                <c:pt idx="0">
                  <c:v>15318.05</c:v>
                </c:pt>
                <c:pt idx="1">
                  <c:v>-36327.69</c:v>
                </c:pt>
                <c:pt idx="2">
                  <c:v>-20527.96</c:v>
                </c:pt>
                <c:pt idx="3">
                  <c:v>18115.09</c:v>
                </c:pt>
                <c:pt idx="4">
                  <c:v>116034.71</c:v>
                </c:pt>
                <c:pt idx="5">
                  <c:v>70061.240000000005</c:v>
                </c:pt>
                <c:pt idx="6">
                  <c:v>49572.78</c:v>
                </c:pt>
                <c:pt idx="7">
                  <c:v>-48063.46</c:v>
                </c:pt>
                <c:pt idx="8">
                  <c:v>33896.19</c:v>
                </c:pt>
                <c:pt idx="9">
                  <c:v>-91260.08</c:v>
                </c:pt>
                <c:pt idx="10">
                  <c:v>-61811.63</c:v>
                </c:pt>
                <c:pt idx="11">
                  <c:v>12309.98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73-47B2-9D06-02265304E35D}"/>
            </c:ext>
          </c:extLst>
        </c:ser>
        <c:ser>
          <c:idx val="1"/>
          <c:order val="1"/>
          <c:tx>
            <c:strRef>
              <c:f>Balanse!$B$114</c:f>
              <c:strCache>
                <c:ptCount val="1"/>
                <c:pt idx="0">
                  <c:v>Akkumulert Bank, kontanter, kasse</c:v>
                </c:pt>
              </c:strCache>
            </c:strRef>
          </c:tx>
          <c:marker>
            <c:symbol val="none"/>
          </c:marker>
          <c:val>
            <c:numRef>
              <c:f>Balanse!$F$114:$R$114</c:f>
              <c:numCache>
                <c:formatCode>#\ ##0_ ;[Red]\-#\ ##0\ </c:formatCode>
                <c:ptCount val="13"/>
                <c:pt idx="0">
                  <c:v>511212.1</c:v>
                </c:pt>
                <c:pt idx="1">
                  <c:v>474884.41</c:v>
                </c:pt>
                <c:pt idx="2">
                  <c:v>454356.44999999995</c:v>
                </c:pt>
                <c:pt idx="3">
                  <c:v>472471.54</c:v>
                </c:pt>
                <c:pt idx="4">
                  <c:v>588506.25</c:v>
                </c:pt>
                <c:pt idx="5">
                  <c:v>658567.49</c:v>
                </c:pt>
                <c:pt idx="6">
                  <c:v>708140.27</c:v>
                </c:pt>
                <c:pt idx="7">
                  <c:v>660076.81000000006</c:v>
                </c:pt>
                <c:pt idx="8">
                  <c:v>693973</c:v>
                </c:pt>
                <c:pt idx="9">
                  <c:v>602712.92000000004</c:v>
                </c:pt>
                <c:pt idx="10">
                  <c:v>540901.29</c:v>
                </c:pt>
                <c:pt idx="11">
                  <c:v>553211.27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73-47B2-9D06-02265304E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9688808"/>
        <c:axId val="1"/>
      </c:lineChart>
      <c:catAx>
        <c:axId val="419688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1"/>
      </c:catAx>
      <c:valAx>
        <c:axId val="1"/>
        <c:scaling>
          <c:orientation val="minMax"/>
        </c:scaling>
        <c:delete val="0"/>
        <c:axPos val="l"/>
        <c:majorGridlines/>
        <c:numFmt formatCode="#,##0_ ;[Red]\-#,##0\ " sourceLinked="0"/>
        <c:majorTickMark val="out"/>
        <c:minorTickMark val="none"/>
        <c:tickLblPos val="nextTo"/>
        <c:crossAx val="419688808"/>
        <c:crosses val="autoZero"/>
        <c:crossBetween val="between"/>
      </c:valAx>
      <c:spPr>
        <a:solidFill>
          <a:schemeClr val="lt1">
            <a:lumMod val="95000"/>
          </a:schemeClr>
        </a:solidFill>
      </c:spPr>
    </c:plotArea>
    <c:legend>
      <c:legendPos val="r"/>
      <c:overlay val="0"/>
    </c:legend>
    <c:plotVisOnly val="0"/>
    <c:dispBlanksAs val="span"/>
    <c:showDLblsOverMax val="0"/>
  </c:chart>
  <c:spPr>
    <a:solidFill>
      <a:schemeClr val="lt1">
        <a:lumMod val="95000"/>
      </a:schemeClr>
    </a:solidFill>
  </c:spPr>
  <c:txPr>
    <a:bodyPr/>
    <a:lstStyle/>
    <a:p>
      <a:pPr>
        <a:defRPr>
          <a:latin typeface="Roboto"/>
        </a:defRPr>
      </a:pPr>
      <a:endParaRPr lang="nb-NO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800" b="1"/>
              <a:t>Arbeidskapital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Balanse!$B$112</c:f>
              <c:strCache>
                <c:ptCount val="1"/>
                <c:pt idx="0">
                  <c:v>Utvikling Arbeidskapital</c:v>
                </c:pt>
              </c:strCache>
            </c:strRef>
          </c:tx>
          <c:marker>
            <c:symbol val="none"/>
          </c:marker>
          <c:cat>
            <c:numRef>
              <c:f>Balanse!$F$108:$R$108</c:f>
              <c:numCache>
                <c:formatCode>General</c:formatCode>
                <c:ptCount val="13"/>
              </c:numCache>
            </c:numRef>
          </c:cat>
          <c:val>
            <c:numRef>
              <c:f>Balanse!$F$112:$R$112</c:f>
              <c:numCache>
                <c:formatCode>#\ ##0_ ;[Red]\-#\ ##0\ </c:formatCode>
                <c:ptCount val="13"/>
                <c:pt idx="0">
                  <c:v>-3015.2299999999923</c:v>
                </c:pt>
                <c:pt idx="1">
                  <c:v>-8684.2000000000007</c:v>
                </c:pt>
                <c:pt idx="2">
                  <c:v>-32241.51</c:v>
                </c:pt>
                <c:pt idx="3">
                  <c:v>23668.14</c:v>
                </c:pt>
                <c:pt idx="4">
                  <c:v>127403.73000000001</c:v>
                </c:pt>
                <c:pt idx="5">
                  <c:v>-33789.80999999999</c:v>
                </c:pt>
                <c:pt idx="6">
                  <c:v>-16519.690000000002</c:v>
                </c:pt>
                <c:pt idx="7">
                  <c:v>26349.23000000001</c:v>
                </c:pt>
                <c:pt idx="8">
                  <c:v>18352.68</c:v>
                </c:pt>
                <c:pt idx="9">
                  <c:v>-50163.98</c:v>
                </c:pt>
                <c:pt idx="10">
                  <c:v>-14147.879999999997</c:v>
                </c:pt>
                <c:pt idx="11">
                  <c:v>25923.09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08-4EF1-AFFC-0EF3DC6AD143}"/>
            </c:ext>
          </c:extLst>
        </c:ser>
        <c:ser>
          <c:idx val="1"/>
          <c:order val="1"/>
          <c:tx>
            <c:strRef>
              <c:f>Balanse!$B$115</c:f>
              <c:strCache>
                <c:ptCount val="1"/>
                <c:pt idx="0">
                  <c:v>Akkumulert Arbeidskapital</c:v>
                </c:pt>
              </c:strCache>
            </c:strRef>
          </c:tx>
          <c:marker>
            <c:symbol val="none"/>
          </c:marker>
          <c:val>
            <c:numRef>
              <c:f>Balanse!$F$115:$R$115</c:f>
              <c:numCache>
                <c:formatCode>#\ ##0_ ;[Red]\-#\ ##0\ </c:formatCode>
                <c:ptCount val="13"/>
                <c:pt idx="0">
                  <c:v>518729.76400000002</c:v>
                </c:pt>
                <c:pt idx="1">
                  <c:v>546373.25400000007</c:v>
                </c:pt>
                <c:pt idx="2">
                  <c:v>547159.70400000003</c:v>
                </c:pt>
                <c:pt idx="3">
                  <c:v>552712.75400000007</c:v>
                </c:pt>
                <c:pt idx="4">
                  <c:v>516778.9740000001</c:v>
                </c:pt>
                <c:pt idx="5">
                  <c:v>451446.98400000011</c:v>
                </c:pt>
                <c:pt idx="6">
                  <c:v>420936.16400000011</c:v>
                </c:pt>
                <c:pt idx="7">
                  <c:v>516494.38400000008</c:v>
                </c:pt>
                <c:pt idx="8">
                  <c:v>516496.80400000006</c:v>
                </c:pt>
                <c:pt idx="9">
                  <c:v>519415.38400000008</c:v>
                </c:pt>
                <c:pt idx="10">
                  <c:v>569613.5340000001</c:v>
                </c:pt>
                <c:pt idx="11">
                  <c:v>568388.89400000009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08-4EF1-AFFC-0EF3DC6AD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9683888"/>
        <c:axId val="1"/>
      </c:lineChart>
      <c:catAx>
        <c:axId val="4196838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1"/>
      </c:catAx>
      <c:valAx>
        <c:axId val="1"/>
        <c:scaling>
          <c:orientation val="minMax"/>
        </c:scaling>
        <c:delete val="0"/>
        <c:axPos val="l"/>
        <c:majorGridlines/>
        <c:numFmt formatCode="#,##0_ ;[Red]\-#,##0\ " sourceLinked="0"/>
        <c:majorTickMark val="out"/>
        <c:minorTickMark val="none"/>
        <c:tickLblPos val="nextTo"/>
        <c:crossAx val="419683888"/>
        <c:crosses val="autoZero"/>
        <c:crossBetween val="between"/>
      </c:valAx>
      <c:spPr>
        <a:solidFill>
          <a:schemeClr val="lt1">
            <a:lumMod val="95000"/>
          </a:schemeClr>
        </a:solidFill>
      </c:spPr>
    </c:plotArea>
    <c:legend>
      <c:legendPos val="r"/>
      <c:overlay val="0"/>
    </c:legend>
    <c:plotVisOnly val="0"/>
    <c:dispBlanksAs val="span"/>
    <c:showDLblsOverMax val="0"/>
  </c:chart>
  <c:spPr>
    <a:solidFill>
      <a:schemeClr val="lt1">
        <a:lumMod val="95000"/>
      </a:schemeClr>
    </a:solidFill>
  </c:spPr>
  <c:txPr>
    <a:bodyPr/>
    <a:lstStyle/>
    <a:p>
      <a:pPr>
        <a:defRPr>
          <a:latin typeface="Roboto"/>
        </a:defRPr>
      </a:pPr>
      <a:endParaRPr lang="nb-NO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800" b="1"/>
              <a:t>Egenkapital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OSR_Sheet1_f0...aacff9c9_HY75AO!$B$70</c:f>
              <c:strCache>
                <c:ptCount val="1"/>
                <c:pt idx="0">
                  <c:v>Utvikling Egenkapital</c:v>
                </c:pt>
              </c:strCache>
            </c:strRef>
          </c:tx>
          <c:marker>
            <c:symbol val="none"/>
          </c:marker>
          <c:cat>
            <c:numRef>
              <c:f>OSR_Sheet1_f0...aacff9c9_HY75AO!$F$69:$G$69</c:f>
              <c:numCache>
                <c:formatCode>General</c:formatCode>
                <c:ptCount val="2"/>
              </c:numCache>
            </c:numRef>
          </c:cat>
          <c:val>
            <c:numRef>
              <c:f>OSR_Sheet1_f0...aacff9c9_HY75AO!$F$70:$G$70</c:f>
              <c:numCache>
                <c:formatCode>0.0\ %</c:formatCode>
                <c:ptCount val="2"/>
                <c:pt idx="0" formatCode="#\ ##0_ ;[Red]\-#\ ##0\ 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96-470C-871E-F1B47D92EC5D}"/>
            </c:ext>
          </c:extLst>
        </c:ser>
        <c:ser>
          <c:idx val="1"/>
          <c:order val="1"/>
          <c:tx>
            <c:strRef>
              <c:f>OSR_Sheet1_f0...aacff9c9_HY75AO!$B$74</c:f>
              <c:strCache>
                <c:ptCount val="1"/>
                <c:pt idx="0">
                  <c:v>Akkumulert Egenkapital</c:v>
                </c:pt>
              </c:strCache>
            </c:strRef>
          </c:tx>
          <c:marker>
            <c:symbol val="none"/>
          </c:marker>
          <c:val>
            <c:numRef>
              <c:f>OSR_Sheet1_f0...aacff9c9_HY75AO!$F$74:$G$74</c:f>
              <c:numCache>
                <c:formatCode>0.0\ %</c:formatCode>
                <c:ptCount val="2"/>
                <c:pt idx="0" formatCode="#\ ##0_ ;[Red]\-#\ ##0\ 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96-470C-871E-F1B47D92E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9685856"/>
        <c:axId val="1"/>
      </c:lineChart>
      <c:catAx>
        <c:axId val="419685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1"/>
      </c:catAx>
      <c:valAx>
        <c:axId val="1"/>
        <c:scaling>
          <c:orientation val="minMax"/>
        </c:scaling>
        <c:delete val="0"/>
        <c:axPos val="l"/>
        <c:majorGridlines/>
        <c:numFmt formatCode="#,##0_ ;[Red]\-#,##0\ " sourceLinked="0"/>
        <c:majorTickMark val="out"/>
        <c:minorTickMark val="none"/>
        <c:tickLblPos val="nextTo"/>
        <c:crossAx val="419685856"/>
        <c:crosses val="autoZero"/>
        <c:crossBetween val="between"/>
      </c:valAx>
      <c:spPr>
        <a:solidFill>
          <a:schemeClr val="lt1">
            <a:lumMod val="95000"/>
          </a:schemeClr>
        </a:solidFill>
      </c:spPr>
    </c:plotArea>
    <c:legend>
      <c:legendPos val="r"/>
      <c:overlay val="0"/>
    </c:legend>
    <c:plotVisOnly val="0"/>
    <c:dispBlanksAs val="span"/>
    <c:showDLblsOverMax val="0"/>
  </c:chart>
  <c:spPr>
    <a:solidFill>
      <a:schemeClr val="lt1">
        <a:lumMod val="95000"/>
      </a:schemeClr>
    </a:solidFill>
  </c:spPr>
  <c:txPr>
    <a:bodyPr/>
    <a:lstStyle/>
    <a:p>
      <a:pPr>
        <a:defRPr>
          <a:latin typeface="Roboto"/>
        </a:defRPr>
      </a:pPr>
      <a:endParaRPr lang="nb-NO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800" b="1"/>
              <a:t>Egenkapital %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OSR_Sheet1_f0...aacff9c9_HY75AO!$B$71</c:f>
              <c:strCache>
                <c:ptCount val="1"/>
                <c:pt idx="0">
                  <c:v>Utvikling Egenkapital %</c:v>
                </c:pt>
              </c:strCache>
            </c:strRef>
          </c:tx>
          <c:marker>
            <c:symbol val="none"/>
          </c:marker>
          <c:cat>
            <c:numRef>
              <c:f>OSR_Sheet1_f0...aacff9c9_HY75AO!$F$69:$G$69</c:f>
              <c:numCache>
                <c:formatCode>General</c:formatCode>
                <c:ptCount val="2"/>
              </c:numCache>
            </c:numRef>
          </c:cat>
          <c:val>
            <c:numRef>
              <c:f>OSR_Sheet1_f0...aacff9c9_HY75AO!$F$71:$G$71</c:f>
              <c:numCache>
                <c:formatCode>0.0\ %</c:formatCode>
                <c:ptCount val="2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43-4B60-A06C-FF1B3453A212}"/>
            </c:ext>
          </c:extLst>
        </c:ser>
        <c:ser>
          <c:idx val="1"/>
          <c:order val="1"/>
          <c:tx>
            <c:strRef>
              <c:f>OSR_Sheet1_f0...aacff9c9_HY75AO!$B$78</c:f>
              <c:strCache>
                <c:ptCount val="1"/>
                <c:pt idx="0">
                  <c:v>Akkumulert Egenkapital i %</c:v>
                </c:pt>
              </c:strCache>
            </c:strRef>
          </c:tx>
          <c:marker>
            <c:symbol val="none"/>
          </c:marker>
          <c:val>
            <c:numRef>
              <c:f>OSR_Sheet1_f0...aacff9c9_HY75AO!$F$78:$G$78</c:f>
              <c:numCache>
                <c:formatCode>0.0\ %</c:formatCode>
                <c:ptCount val="2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43-4B60-A06C-FF1B3453A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9686512"/>
        <c:axId val="1"/>
      </c:lineChart>
      <c:catAx>
        <c:axId val="419686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1"/>
      </c:catAx>
      <c:valAx>
        <c:axId val="1"/>
        <c:scaling>
          <c:orientation val="minMax"/>
        </c:scaling>
        <c:delete val="0"/>
        <c:axPos val="l"/>
        <c:majorGridlines/>
        <c:numFmt formatCode="0.0\ %" sourceLinked="1"/>
        <c:majorTickMark val="out"/>
        <c:minorTickMark val="none"/>
        <c:tickLblPos val="nextTo"/>
        <c:crossAx val="419686512"/>
        <c:crosses val="autoZero"/>
        <c:crossBetween val="between"/>
      </c:valAx>
      <c:spPr>
        <a:solidFill>
          <a:schemeClr val="lt1">
            <a:lumMod val="95000"/>
          </a:schemeClr>
        </a:solidFill>
      </c:spPr>
    </c:plotArea>
    <c:legend>
      <c:legendPos val="r"/>
      <c:overlay val="0"/>
    </c:legend>
    <c:plotVisOnly val="0"/>
    <c:dispBlanksAs val="span"/>
    <c:showDLblsOverMax val="0"/>
  </c:chart>
  <c:spPr>
    <a:solidFill>
      <a:schemeClr val="lt1">
        <a:lumMod val="95000"/>
      </a:schemeClr>
    </a:solidFill>
  </c:spPr>
  <c:txPr>
    <a:bodyPr/>
    <a:lstStyle/>
    <a:p>
      <a:pPr>
        <a:defRPr>
          <a:latin typeface="Roboto"/>
        </a:defRPr>
      </a:pPr>
      <a:endParaRPr lang="nb-NO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800" b="1"/>
              <a:t>Bank, kontanter, kasse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OSR_Sheet1_f0...aacff9c9_HY75AO!$B$72</c:f>
              <c:strCache>
                <c:ptCount val="1"/>
                <c:pt idx="0">
                  <c:v>Utvikling Bank, kontanter, kasse</c:v>
                </c:pt>
              </c:strCache>
            </c:strRef>
          </c:tx>
          <c:marker>
            <c:symbol val="none"/>
          </c:marker>
          <c:cat>
            <c:numRef>
              <c:f>OSR_Sheet1_f0...aacff9c9_HY75AO!$F$69:$G$69</c:f>
              <c:numCache>
                <c:formatCode>General</c:formatCode>
                <c:ptCount val="2"/>
              </c:numCache>
            </c:numRef>
          </c:cat>
          <c:val>
            <c:numRef>
              <c:f>OSR_Sheet1_f0...aacff9c9_HY75AO!$F$72:$G$72</c:f>
              <c:numCache>
                <c:formatCode>0.0\ %</c:formatCode>
                <c:ptCount val="2"/>
                <c:pt idx="0" formatCode="#\ ##0_ ;[Red]\-#\ ##0\ 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91-4F7E-AB41-B8D8F6EC143B}"/>
            </c:ext>
          </c:extLst>
        </c:ser>
        <c:ser>
          <c:idx val="1"/>
          <c:order val="1"/>
          <c:tx>
            <c:strRef>
              <c:f>OSR_Sheet1_f0...aacff9c9_HY75AO!$B$75</c:f>
              <c:strCache>
                <c:ptCount val="1"/>
                <c:pt idx="0">
                  <c:v>Akkumulert Bank, kontanter, kasse</c:v>
                </c:pt>
              </c:strCache>
            </c:strRef>
          </c:tx>
          <c:marker>
            <c:symbol val="none"/>
          </c:marker>
          <c:val>
            <c:numRef>
              <c:f>OSR_Sheet1_f0...aacff9c9_HY75AO!$F$75:$G$75</c:f>
              <c:numCache>
                <c:formatCode>0.0\ %</c:formatCode>
                <c:ptCount val="2"/>
                <c:pt idx="0" formatCode="#\ ##0_ ;[Red]\-#\ ##0\ 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91-4F7E-AB41-B8D8F6EC1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9693728"/>
        <c:axId val="1"/>
      </c:lineChart>
      <c:catAx>
        <c:axId val="419693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1"/>
      </c:catAx>
      <c:valAx>
        <c:axId val="1"/>
        <c:scaling>
          <c:orientation val="minMax"/>
        </c:scaling>
        <c:delete val="0"/>
        <c:axPos val="l"/>
        <c:majorGridlines/>
        <c:numFmt formatCode="#,##0_ ;[Red]\-#,##0\ " sourceLinked="0"/>
        <c:majorTickMark val="out"/>
        <c:minorTickMark val="none"/>
        <c:tickLblPos val="nextTo"/>
        <c:crossAx val="419693728"/>
        <c:crosses val="autoZero"/>
        <c:crossBetween val="between"/>
      </c:valAx>
      <c:spPr>
        <a:solidFill>
          <a:schemeClr val="lt1">
            <a:lumMod val="95000"/>
          </a:schemeClr>
        </a:solidFill>
      </c:spPr>
    </c:plotArea>
    <c:legend>
      <c:legendPos val="r"/>
      <c:overlay val="0"/>
    </c:legend>
    <c:plotVisOnly val="0"/>
    <c:dispBlanksAs val="span"/>
    <c:showDLblsOverMax val="0"/>
  </c:chart>
  <c:spPr>
    <a:solidFill>
      <a:schemeClr val="lt1">
        <a:lumMod val="95000"/>
      </a:schemeClr>
    </a:solidFill>
  </c:spPr>
  <c:txPr>
    <a:bodyPr/>
    <a:lstStyle/>
    <a:p>
      <a:pPr>
        <a:defRPr>
          <a:latin typeface="Roboto"/>
        </a:defRPr>
      </a:pPr>
      <a:endParaRPr lang="nb-NO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c:style val="2"/>
  <c:chart>
    <c:title>
      <c:tx>
        <c:rich>
          <a:bodyPr/>
          <a:lstStyle/>
          <a:p>
            <a:pPr>
              <a:defRPr/>
            </a:pPr>
            <a:r>
              <a:rPr sz="1800" b="1"/>
              <a:t>Arbeidskapital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OSR_Sheet1_f0...aacff9c9_HY75AO!$B$73</c:f>
              <c:strCache>
                <c:ptCount val="1"/>
                <c:pt idx="0">
                  <c:v>Utvikling Arbeidskapital</c:v>
                </c:pt>
              </c:strCache>
            </c:strRef>
          </c:tx>
          <c:marker>
            <c:symbol val="none"/>
          </c:marker>
          <c:cat>
            <c:numRef>
              <c:f>OSR_Sheet1_f0...aacff9c9_HY75AO!$F$69:$G$69</c:f>
              <c:numCache>
                <c:formatCode>General</c:formatCode>
                <c:ptCount val="2"/>
              </c:numCache>
            </c:numRef>
          </c:cat>
          <c:val>
            <c:numRef>
              <c:f>OSR_Sheet1_f0...aacff9c9_HY75AO!$F$73:$G$73</c:f>
              <c:numCache>
                <c:formatCode>0.0\ %</c:formatCode>
                <c:ptCount val="2"/>
                <c:pt idx="0" formatCode="#\ ##0_ ;[Red]\-#\ ##0\ 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FA-4493-8323-7ECA6641A94F}"/>
            </c:ext>
          </c:extLst>
        </c:ser>
        <c:ser>
          <c:idx val="1"/>
          <c:order val="1"/>
          <c:tx>
            <c:strRef>
              <c:f>OSR_Sheet1_f0...aacff9c9_HY75AO!$B$76</c:f>
              <c:strCache>
                <c:ptCount val="1"/>
                <c:pt idx="0">
                  <c:v>Akkumulert Arbeidskapital</c:v>
                </c:pt>
              </c:strCache>
            </c:strRef>
          </c:tx>
          <c:marker>
            <c:symbol val="none"/>
          </c:marker>
          <c:val>
            <c:numRef>
              <c:f>OSR_Sheet1_f0...aacff9c9_HY75AO!$F$76:$G$76</c:f>
              <c:numCache>
                <c:formatCode>0.0\ %</c:formatCode>
                <c:ptCount val="2"/>
                <c:pt idx="0" formatCode="#\ ##0_ ;[Red]\-#\ ##0\ 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FA-4493-8323-7ECA6641A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9693072"/>
        <c:axId val="1"/>
      </c:lineChart>
      <c:catAx>
        <c:axId val="419693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1"/>
      </c:catAx>
      <c:valAx>
        <c:axId val="1"/>
        <c:scaling>
          <c:orientation val="minMax"/>
        </c:scaling>
        <c:delete val="0"/>
        <c:axPos val="l"/>
        <c:majorGridlines/>
        <c:numFmt formatCode="#,##0_ ;[Red]\-#,##0\ " sourceLinked="0"/>
        <c:majorTickMark val="out"/>
        <c:minorTickMark val="none"/>
        <c:tickLblPos val="nextTo"/>
        <c:crossAx val="419693072"/>
        <c:crosses val="autoZero"/>
        <c:crossBetween val="between"/>
      </c:valAx>
      <c:spPr>
        <a:solidFill>
          <a:schemeClr val="lt1">
            <a:lumMod val="95000"/>
          </a:schemeClr>
        </a:solidFill>
      </c:spPr>
    </c:plotArea>
    <c:legend>
      <c:legendPos val="r"/>
      <c:overlay val="0"/>
    </c:legend>
    <c:plotVisOnly val="0"/>
    <c:dispBlanksAs val="span"/>
    <c:showDLblsOverMax val="0"/>
  </c:chart>
  <c:spPr>
    <a:solidFill>
      <a:schemeClr val="lt1">
        <a:lumMod val="95000"/>
      </a:schemeClr>
    </a:solidFill>
  </c:spPr>
  <c:txPr>
    <a:bodyPr/>
    <a:lstStyle/>
    <a:p>
      <a:pPr>
        <a:defRPr>
          <a:latin typeface="Roboto"/>
        </a:defRPr>
      </a:pPr>
      <a:endParaRPr lang="nb-NO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nb-NO" sz="1800" b="1"/>
              <a:t>Resultat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5323673971647839E-2"/>
          <c:y val="0.15267629082004461"/>
          <c:w val="0.5834109354216902"/>
          <c:h val="0.73134405264617208"/>
        </c:manualLayout>
      </c:layout>
      <c:lineChart>
        <c:grouping val="standard"/>
        <c:varyColors val="0"/>
        <c:ser>
          <c:idx val="0"/>
          <c:order val="0"/>
          <c:tx>
            <c:strRef>
              <c:f>'Resultat pr måned'!$B$28</c:f>
              <c:strCache>
                <c:ptCount val="1"/>
                <c:pt idx="0">
                  <c:v>Sum salg</c:v>
                </c:pt>
              </c:strCache>
            </c:strRef>
          </c:tx>
          <c:spPr>
            <a:ln>
              <a:solidFill>
                <a:srgbClr val="37485A"/>
              </a:solidFill>
            </a:ln>
          </c:spPr>
          <c:marker>
            <c:symbol val="none"/>
          </c:marker>
          <c:cat>
            <c:numRef>
              <c:f>'Resultat pr måned'!$D$11:$P$11</c:f>
              <c:numCache>
                <c:formatCode>@</c:formatCode>
                <c:ptCount val="13"/>
                <c:pt idx="0">
                  <c:v>202001</c:v>
                </c:pt>
                <c:pt idx="1">
                  <c:v>202002</c:v>
                </c:pt>
                <c:pt idx="2">
                  <c:v>202003</c:v>
                </c:pt>
                <c:pt idx="3">
                  <c:v>202004</c:v>
                </c:pt>
                <c:pt idx="4">
                  <c:v>202005</c:v>
                </c:pt>
                <c:pt idx="5">
                  <c:v>202006</c:v>
                </c:pt>
                <c:pt idx="6">
                  <c:v>202007</c:v>
                </c:pt>
                <c:pt idx="7">
                  <c:v>202008</c:v>
                </c:pt>
                <c:pt idx="8">
                  <c:v>202009</c:v>
                </c:pt>
                <c:pt idx="9">
                  <c:v>202010</c:v>
                </c:pt>
                <c:pt idx="10">
                  <c:v>202011</c:v>
                </c:pt>
                <c:pt idx="11">
                  <c:v>202012</c:v>
                </c:pt>
              </c:numCache>
            </c:numRef>
          </c:cat>
          <c:val>
            <c:numRef>
              <c:f>'Resultat pr måned'!$D$28:$P$28</c:f>
              <c:numCache>
                <c:formatCode>#\ ##0_ ;[Red]\-#\ ##0\ </c:formatCode>
                <c:ptCount val="13"/>
                <c:pt idx="0">
                  <c:v>44062.25</c:v>
                </c:pt>
                <c:pt idx="1">
                  <c:v>12200</c:v>
                </c:pt>
                <c:pt idx="2">
                  <c:v>4100</c:v>
                </c:pt>
                <c:pt idx="3">
                  <c:v>51800</c:v>
                </c:pt>
                <c:pt idx="4">
                  <c:v>175699.56</c:v>
                </c:pt>
                <c:pt idx="5">
                  <c:v>103552.4</c:v>
                </c:pt>
                <c:pt idx="6">
                  <c:v>76480.75</c:v>
                </c:pt>
                <c:pt idx="7">
                  <c:v>77384.800000000003</c:v>
                </c:pt>
                <c:pt idx="8">
                  <c:v>68789.77</c:v>
                </c:pt>
                <c:pt idx="9">
                  <c:v>96030.74</c:v>
                </c:pt>
                <c:pt idx="10">
                  <c:v>1000</c:v>
                </c:pt>
                <c:pt idx="11">
                  <c:v>27689.599999999999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74-46E2-8859-B4798D426BE4}"/>
            </c:ext>
          </c:extLst>
        </c:ser>
        <c:ser>
          <c:idx val="2"/>
          <c:order val="1"/>
          <c:tx>
            <c:strRef>
              <c:f>'Resultat pr måned'!$B$98</c:f>
              <c:strCache>
                <c:ptCount val="1"/>
                <c:pt idx="0">
                  <c:v>Resultat før skatt</c:v>
                </c:pt>
              </c:strCache>
            </c:strRef>
          </c:tx>
          <c:spPr>
            <a:ln>
              <a:solidFill>
                <a:srgbClr val="FFC711"/>
              </a:solidFill>
            </a:ln>
          </c:spPr>
          <c:marker>
            <c:symbol val="none"/>
          </c:marker>
          <c:cat>
            <c:numRef>
              <c:f>'Resultat pr måned'!$D$11:$P$11</c:f>
              <c:numCache>
                <c:formatCode>@</c:formatCode>
                <c:ptCount val="13"/>
                <c:pt idx="0">
                  <c:v>202001</c:v>
                </c:pt>
                <c:pt idx="1">
                  <c:v>202002</c:v>
                </c:pt>
                <c:pt idx="2">
                  <c:v>202003</c:v>
                </c:pt>
                <c:pt idx="3">
                  <c:v>202004</c:v>
                </c:pt>
                <c:pt idx="4">
                  <c:v>202005</c:v>
                </c:pt>
                <c:pt idx="5">
                  <c:v>202006</c:v>
                </c:pt>
                <c:pt idx="6">
                  <c:v>202007</c:v>
                </c:pt>
                <c:pt idx="7">
                  <c:v>202008</c:v>
                </c:pt>
                <c:pt idx="8">
                  <c:v>202009</c:v>
                </c:pt>
                <c:pt idx="9">
                  <c:v>202010</c:v>
                </c:pt>
                <c:pt idx="10">
                  <c:v>202011</c:v>
                </c:pt>
                <c:pt idx="11">
                  <c:v>202012</c:v>
                </c:pt>
              </c:numCache>
            </c:numRef>
          </c:cat>
          <c:val>
            <c:numRef>
              <c:f>'Resultat pr måned'!$D$98:$P$98</c:f>
              <c:numCache>
                <c:formatCode>#\ ##0_ ;[Red]\-#\ ##0\ </c:formatCode>
                <c:ptCount val="13"/>
                <c:pt idx="0">
                  <c:v>-3015.2300000000032</c:v>
                </c:pt>
                <c:pt idx="1">
                  <c:v>-8684.1999999999989</c:v>
                </c:pt>
                <c:pt idx="2">
                  <c:v>-32241.510000000002</c:v>
                </c:pt>
                <c:pt idx="3">
                  <c:v>23668.140000000003</c:v>
                </c:pt>
                <c:pt idx="4">
                  <c:v>127403.73000000001</c:v>
                </c:pt>
                <c:pt idx="5">
                  <c:v>-34289.806000000004</c:v>
                </c:pt>
                <c:pt idx="6">
                  <c:v>-16519.693999999992</c:v>
                </c:pt>
                <c:pt idx="7">
                  <c:v>26349.231999999996</c:v>
                </c:pt>
                <c:pt idx="8">
                  <c:v>18352.682000000012</c:v>
                </c:pt>
                <c:pt idx="9">
                  <c:v>-113910.98199999999</c:v>
                </c:pt>
                <c:pt idx="10">
                  <c:v>-14147.887999999999</c:v>
                </c:pt>
                <c:pt idx="11">
                  <c:v>17275.090000000004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74-46E2-8859-B4798D426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9696024"/>
        <c:axId val="1"/>
      </c:lineChart>
      <c:catAx>
        <c:axId val="419696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1"/>
      </c:catAx>
      <c:valAx>
        <c:axId val="1"/>
        <c:scaling>
          <c:orientation val="minMax"/>
        </c:scaling>
        <c:delete val="0"/>
        <c:axPos val="l"/>
        <c:majorGridlines/>
        <c:numFmt formatCode="#\ ##0_ ;[Red]\-#\ ##0\ " sourceLinked="1"/>
        <c:majorTickMark val="out"/>
        <c:minorTickMark val="none"/>
        <c:tickLblPos val="nextTo"/>
        <c:crossAx val="419696024"/>
        <c:crosses val="autoZero"/>
        <c:crossBetween val="between"/>
      </c:valAx>
      <c:spPr>
        <a:solidFill>
          <a:schemeClr val="lt1">
            <a:lumMod val="95000"/>
          </a:schemeClr>
        </a:solidFill>
      </c:spPr>
    </c:plotArea>
    <c:legend>
      <c:legendPos val="r"/>
      <c:layout/>
      <c:overlay val="0"/>
    </c:legend>
    <c:plotVisOnly val="0"/>
    <c:dispBlanksAs val="gap"/>
    <c:showDLblsOverMax val="0"/>
  </c:chart>
  <c:spPr>
    <a:solidFill>
      <a:schemeClr val="lt1">
        <a:lumMod val="95000"/>
      </a:schemeClr>
    </a:solidFill>
  </c:spPr>
  <c:txPr>
    <a:bodyPr/>
    <a:lstStyle/>
    <a:p>
      <a:pPr>
        <a:defRPr>
          <a:latin typeface="Roboto"/>
        </a:defRPr>
      </a:pPr>
      <a:endParaRPr lang="nb-NO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5" Type="http://schemas.openxmlformats.org/officeDocument/2006/relationships/image" Target="../media/image1.png"/><Relationship Id="rId4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1228725</xdr:colOff>
      <xdr:row>0</xdr:row>
      <xdr:rowOff>0</xdr:rowOff>
    </xdr:from>
    <xdr:to>
      <xdr:col>3</xdr:col>
      <xdr:colOff>34017</xdr:colOff>
      <xdr:row>1</xdr:row>
      <xdr:rowOff>692491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30931" y="0"/>
          <a:ext cx="2570245" cy="8512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1156607</xdr:colOff>
      <xdr:row>0</xdr:row>
      <xdr:rowOff>122464</xdr:rowOff>
    </xdr:from>
    <xdr:to>
      <xdr:col>8</xdr:col>
      <xdr:colOff>54428</xdr:colOff>
      <xdr:row>4</xdr:row>
      <xdr:rowOff>21205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8103" y="122464"/>
          <a:ext cx="2538824" cy="8741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1156607</xdr:colOff>
      <xdr:row>0</xdr:row>
      <xdr:rowOff>122464</xdr:rowOff>
    </xdr:from>
    <xdr:to>
      <xdr:col>8</xdr:col>
      <xdr:colOff>54428</xdr:colOff>
      <xdr:row>4</xdr:row>
      <xdr:rowOff>21205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8103" y="122464"/>
          <a:ext cx="2538824" cy="8741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2313214</xdr:colOff>
      <xdr:row>1</xdr:row>
      <xdr:rowOff>0</xdr:rowOff>
    </xdr:from>
    <xdr:to>
      <xdr:col>9</xdr:col>
      <xdr:colOff>27213</xdr:colOff>
      <xdr:row>4</xdr:row>
      <xdr:rowOff>89241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83986" y="198120"/>
          <a:ext cx="2878662" cy="86648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2313214</xdr:colOff>
      <xdr:row>1</xdr:row>
      <xdr:rowOff>0</xdr:rowOff>
    </xdr:from>
    <xdr:to>
      <xdr:col>9</xdr:col>
      <xdr:colOff>27213</xdr:colOff>
      <xdr:row>4</xdr:row>
      <xdr:rowOff>89241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83986" y="198120"/>
          <a:ext cx="2878662" cy="86648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4762</xdr:rowOff>
    </xdr:from>
    <xdr:to>
      <xdr:col>30</xdr:col>
      <xdr:colOff>266700</xdr:colOff>
      <xdr:row>37</xdr:row>
      <xdr:rowOff>33337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4762</xdr:rowOff>
    </xdr:from>
    <xdr:to>
      <xdr:col>8</xdr:col>
      <xdr:colOff>266700</xdr:colOff>
      <xdr:row>37</xdr:row>
      <xdr:rowOff>33337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1228725</xdr:colOff>
      <xdr:row>0</xdr:row>
      <xdr:rowOff>0</xdr:rowOff>
    </xdr:from>
    <xdr:to>
      <xdr:col>3</xdr:col>
      <xdr:colOff>34017</xdr:colOff>
      <xdr:row>1</xdr:row>
      <xdr:rowOff>692491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30931" y="0"/>
          <a:ext cx="2570245" cy="8512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1228725</xdr:colOff>
      <xdr:row>0</xdr:row>
      <xdr:rowOff>0</xdr:rowOff>
    </xdr:from>
    <xdr:to>
      <xdr:col>3</xdr:col>
      <xdr:colOff>34017</xdr:colOff>
      <xdr:row>1</xdr:row>
      <xdr:rowOff>692491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30931" y="0"/>
          <a:ext cx="2570245" cy="85124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19051</xdr:colOff>
      <xdr:row>4</xdr:row>
      <xdr:rowOff>28575</xdr:rowOff>
    </xdr:from>
    <xdr:to>
      <xdr:col>2</xdr:col>
      <xdr:colOff>2095631</xdr:colOff>
      <xdr:row>56</xdr:row>
      <xdr:rowOff>98425</xdr:rowOff>
    </xdr:to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440013" y="1706880"/>
          <a:ext cx="5457824" cy="6419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rtlCol="0"/>
        <a:lstStyle/>
        <a:p>
          <a:pPr algn="l"/>
          <a:r>
            <a:rPr lang="en-US" b="1">
              <a:latin typeface="Roboto"/>
            </a:rPr>
            <a:t>Forutsetninger og forbehold</a:t>
          </a:r>
          <a:r>
            <a:rPr lang="en-US">
              <a:latin typeface="Roboto"/>
            </a:rPr>
            <a:t>:</a:t>
          </a:r>
        </a:p>
        <a:p>
          <a:pPr algn="l"/>
          <a:r>
            <a:rPr lang="en-US">
              <a:latin typeface="Roboto"/>
            </a:rPr>
            <a:t>Regnskapet er bokført og avstemt med bakgrunn i innleverte bilag og opplysninger.</a:t>
          </a:r>
        </a:p>
        <a:p>
          <a:pPr algn="l"/>
          <a:r>
            <a:rPr lang="en-US">
              <a:latin typeface="Roboto"/>
            </a:rPr>
            <a:t>Forsikring er periodisert.</a:t>
          </a:r>
        </a:p>
        <a:p>
          <a:pPr algn="l"/>
          <a:r>
            <a:rPr lang="en-US">
              <a:latin typeface="Roboto"/>
            </a:rPr>
            <a:t>Varelager er bokført i hht levert liste med kr 46.044,50. </a:t>
          </a:r>
        </a:p>
        <a:p>
          <a:pPr algn="l"/>
          <a:endParaRPr lang="en-US">
            <a:latin typeface="Roboto"/>
          </a:endParaRPr>
        </a:p>
        <a:p>
          <a:pPr algn="l"/>
          <a:endParaRPr lang="en-US">
            <a:latin typeface="Roboto"/>
          </a:endParaRPr>
        </a:p>
        <a:p>
          <a:pPr algn="l"/>
          <a:r>
            <a:rPr lang="en-US" b="1">
              <a:latin typeface="Roboto"/>
            </a:rPr>
            <a:t>Økonomiske kommentarer til drift</a:t>
          </a:r>
          <a:r>
            <a:rPr lang="en-US">
              <a:latin typeface="Roboto"/>
            </a:rPr>
            <a:t>:</a:t>
          </a:r>
        </a:p>
        <a:p>
          <a:pPr algn="l"/>
          <a:r>
            <a:rPr lang="en-US">
              <a:latin typeface="Roboto"/>
            </a:rPr>
            <a:t>Resultatet til</a:t>
          </a:r>
          <a:r>
            <a:rPr lang="en-US" baseline="0">
              <a:latin typeface="Roboto"/>
            </a:rPr>
            <a:t> Hovden Golfklubb syner eit underskot på kr 9.760 pr 31.12.20. I fjor hadde golfklubben eit underskot på kr 70.823. </a:t>
          </a:r>
        </a:p>
        <a:p>
          <a:pPr algn="l"/>
          <a:endParaRPr lang="en-US" baseline="0">
            <a:latin typeface="Roboto"/>
          </a:endParaRPr>
        </a:p>
        <a:p>
          <a:pPr algn="l"/>
          <a:r>
            <a:rPr lang="en-US" baseline="0">
              <a:latin typeface="Roboto"/>
            </a:rPr>
            <a:t>Inntektene til Hovden Golfklubb har totalt auka med kr 164.200 samanlikna med 2019. Inntekter for 2020 er på kr 738.790. </a:t>
          </a:r>
        </a:p>
        <a:p>
          <a:pPr algn="l"/>
          <a:endParaRPr lang="en-US" baseline="0">
            <a:latin typeface="Roboto"/>
          </a:endParaRPr>
        </a:p>
        <a:p>
          <a:pPr algn="l"/>
          <a:r>
            <a:rPr lang="en-US" baseline="0">
              <a:latin typeface="Roboto"/>
            </a:rPr>
            <a:t>Varekostnaden for 2020 er på kr 213.949, medan den i 2019 var på kr 95.128. Vil bare gjere merksam på at innleigd hjelp vert ført som varekostnad. </a:t>
          </a:r>
        </a:p>
        <a:p>
          <a:pPr algn="l"/>
          <a:endParaRPr lang="en-US" baseline="0">
            <a:latin typeface="Roboto"/>
          </a:endParaRPr>
        </a:p>
        <a:p>
          <a:pPr algn="l"/>
          <a:r>
            <a:rPr lang="en-US" baseline="0">
              <a:latin typeface="Roboto"/>
            </a:rPr>
            <a:t>Løns- og personalkostnad for 2020 er på kr 81.032, i 2019 var den på 129.810. </a:t>
          </a:r>
          <a:endParaRPr lang="en-US">
            <a:latin typeface="Roboto"/>
          </a:endParaRPr>
        </a:p>
        <a:p>
          <a:pPr algn="l"/>
          <a:endParaRPr lang="en-US">
            <a:latin typeface="Roboto"/>
          </a:endParaRPr>
        </a:p>
        <a:p>
          <a:pPr algn="l"/>
          <a:r>
            <a:rPr lang="en-US" b="1">
              <a:latin typeface="Roboto"/>
            </a:rPr>
            <a:t>Eventuelle brudd på regnskaps-, bokførings-, skatte- og avgiftslovgivning</a:t>
          </a:r>
          <a:r>
            <a:rPr lang="en-US">
              <a:latin typeface="Roboto"/>
            </a:rPr>
            <a:t>:</a:t>
          </a:r>
        </a:p>
        <a:p>
          <a:pPr algn="l"/>
          <a:r>
            <a:rPr lang="en-US">
              <a:latin typeface="Roboto"/>
            </a:rPr>
            <a:t>Her er nokre innbetalingar frå Saxo</a:t>
          </a:r>
          <a:r>
            <a:rPr lang="en-US" baseline="0">
              <a:latin typeface="Roboto"/>
            </a:rPr>
            <a:t> som gjeld omsetnad som ikkje vert slått på kassa. </a:t>
          </a:r>
          <a:endParaRPr lang="en-US">
            <a:latin typeface="Roboto"/>
          </a:endParaRPr>
        </a:p>
        <a:p>
          <a:pPr algn="l"/>
          <a:endParaRPr lang="en-US">
            <a:latin typeface="Roboto"/>
          </a:endParaRPr>
        </a:p>
        <a:p>
          <a:pPr algn="l"/>
          <a:r>
            <a:rPr lang="en-US" b="1">
              <a:latin typeface="Roboto"/>
            </a:rPr>
            <a:t>Kundereskontro</a:t>
          </a:r>
          <a:r>
            <a:rPr lang="en-US">
              <a:latin typeface="Roboto"/>
            </a:rPr>
            <a:t>:</a:t>
          </a:r>
        </a:p>
        <a:p>
          <a:pPr algn="l"/>
          <a:r>
            <a:rPr lang="en-US">
              <a:latin typeface="Roboto"/>
            </a:rPr>
            <a:t>Vedlagte liste er åpne poster pr i dag.</a:t>
          </a:r>
        </a:p>
        <a:p>
          <a:pPr algn="l"/>
          <a:endParaRPr lang="en-US">
            <a:latin typeface="Roboto"/>
          </a:endParaRPr>
        </a:p>
        <a:p>
          <a:pPr algn="l"/>
          <a:r>
            <a:rPr lang="en-US" b="1">
              <a:latin typeface="Roboto"/>
            </a:rPr>
            <a:t>Leverandørreskontro</a:t>
          </a:r>
          <a:r>
            <a:rPr lang="en-US">
              <a:latin typeface="Roboto"/>
            </a:rPr>
            <a:t>:</a:t>
          </a:r>
        </a:p>
        <a:p>
          <a:pPr algn="l"/>
          <a:r>
            <a:rPr lang="en-US">
              <a:latin typeface="Roboto"/>
            </a:rPr>
            <a:t>Vedlagte liste er åpne poster pr i dag.</a:t>
          </a:r>
        </a:p>
        <a:p>
          <a:pPr algn="l"/>
          <a:endParaRPr lang="en-US">
            <a:latin typeface="Roboto"/>
          </a:endParaRPr>
        </a:p>
        <a:p>
          <a:pPr algn="l"/>
          <a:endParaRPr lang="en-US">
            <a:latin typeface="Roboto"/>
          </a:endParaRPr>
        </a:p>
        <a:p>
          <a:pPr algn="l"/>
          <a:r>
            <a:rPr lang="en-US" b="1">
              <a:latin typeface="Roboto"/>
            </a:rPr>
            <a:t>Mangler i forbindelse med avstemming av bank, kasse, mellomregningskonti etc</a:t>
          </a:r>
          <a:r>
            <a:rPr lang="en-US">
              <a:latin typeface="Roboto"/>
            </a:rPr>
            <a:t>:</a:t>
          </a:r>
        </a:p>
        <a:p>
          <a:pPr algn="l"/>
          <a:endParaRPr lang="en-US">
            <a:latin typeface="Roboto"/>
          </a:endParaRPr>
        </a:p>
        <a:p>
          <a:pPr algn="l"/>
          <a:endParaRPr lang="en-US">
            <a:latin typeface="Roboto"/>
          </a:endParaRPr>
        </a:p>
        <a:p>
          <a:pPr algn="l"/>
          <a:r>
            <a:rPr lang="en-US" b="1">
              <a:latin typeface="Roboto"/>
            </a:rPr>
            <a:t>Kommentar til utvikling i egenkapital, privatuttak, forskuddsskatt</a:t>
          </a:r>
          <a:r>
            <a:rPr lang="en-US">
              <a:latin typeface="Roboto"/>
            </a:rPr>
            <a:t>: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Eigenkapitalen pr 31.12.20 er på kr 1.215.167, då er underskot på kr 9.760 medreikna. </a:t>
          </a:r>
          <a:endParaRPr lang="nb-NO">
            <a:effectLst/>
          </a:endParaRPr>
        </a:p>
        <a:p>
          <a:pPr algn="l"/>
          <a:endParaRPr lang="en-US">
            <a:latin typeface="Roboto"/>
          </a:endParaRPr>
        </a:p>
        <a:p>
          <a:pPr algn="l"/>
          <a:r>
            <a:rPr lang="en-US" b="1">
              <a:latin typeface="Roboto"/>
            </a:rPr>
            <a:t>Andre kommentarer til balansen</a:t>
          </a:r>
          <a:r>
            <a:rPr lang="en-US">
              <a:latin typeface="Roboto"/>
            </a:rPr>
            <a:t>:</a:t>
          </a:r>
        </a:p>
        <a:p>
          <a:pPr algn="l"/>
          <a:endParaRPr lang="en-US">
            <a:latin typeface="Roboto"/>
          </a:endParaRPr>
        </a:p>
        <a:p>
          <a:pPr algn="l"/>
          <a:r>
            <a:rPr lang="en-US" b="1">
              <a:latin typeface="Roboto"/>
            </a:rPr>
            <a:t>Likviditet</a:t>
          </a:r>
          <a:r>
            <a:rPr lang="en-US">
              <a:latin typeface="Roboto"/>
            </a:rPr>
            <a:t>:</a:t>
          </a:r>
        </a:p>
        <a:p>
          <a:pPr algn="l"/>
          <a:r>
            <a:rPr lang="en-US">
              <a:latin typeface="Roboto"/>
            </a:rPr>
            <a:t>Total innskot bank pr 31.12.20 er på kr 553.211,27.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119</xdr:row>
      <xdr:rowOff>28575</xdr:rowOff>
    </xdr:from>
    <xdr:to>
      <xdr:col>20</xdr:col>
      <xdr:colOff>7620</xdr:colOff>
      <xdr:row>136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200025</xdr:colOff>
      <xdr:row>137</xdr:row>
      <xdr:rowOff>133350</xdr:rowOff>
    </xdr:from>
    <xdr:to>
      <xdr:col>20</xdr:col>
      <xdr:colOff>0</xdr:colOff>
      <xdr:row>152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171450</xdr:colOff>
      <xdr:row>153</xdr:row>
      <xdr:rowOff>9525</xdr:rowOff>
    </xdr:from>
    <xdr:to>
      <xdr:col>20</xdr:col>
      <xdr:colOff>7620</xdr:colOff>
      <xdr:row>167</xdr:row>
      <xdr:rowOff>85725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190500</xdr:colOff>
      <xdr:row>168</xdr:row>
      <xdr:rowOff>142875</xdr:rowOff>
    </xdr:from>
    <xdr:to>
      <xdr:col>20</xdr:col>
      <xdr:colOff>15240</xdr:colOff>
      <xdr:row>183</xdr:row>
      <xdr:rowOff>28575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884466</xdr:colOff>
      <xdr:row>2</xdr:row>
      <xdr:rowOff>278634</xdr:rowOff>
    </xdr:from>
    <xdr:to>
      <xdr:col>20</xdr:col>
      <xdr:colOff>40822</xdr:colOff>
      <xdr:row>6</xdr:row>
      <xdr:rowOff>5925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262233" y="743454"/>
          <a:ext cx="2450226" cy="8588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80</xdr:row>
      <xdr:rowOff>28575</xdr:rowOff>
    </xdr:from>
    <xdr:to>
      <xdr:col>9</xdr:col>
      <xdr:colOff>7620</xdr:colOff>
      <xdr:row>97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200025</xdr:colOff>
      <xdr:row>98</xdr:row>
      <xdr:rowOff>133350</xdr:rowOff>
    </xdr:from>
    <xdr:to>
      <xdr:col>9</xdr:col>
      <xdr:colOff>0</xdr:colOff>
      <xdr:row>113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171450</xdr:colOff>
      <xdr:row>114</xdr:row>
      <xdr:rowOff>9525</xdr:rowOff>
    </xdr:from>
    <xdr:to>
      <xdr:col>9</xdr:col>
      <xdr:colOff>7620</xdr:colOff>
      <xdr:row>128</xdr:row>
      <xdr:rowOff>85725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190500</xdr:colOff>
      <xdr:row>129</xdr:row>
      <xdr:rowOff>142875</xdr:rowOff>
    </xdr:from>
    <xdr:to>
      <xdr:col>9</xdr:col>
      <xdr:colOff>15240</xdr:colOff>
      <xdr:row>144</xdr:row>
      <xdr:rowOff>28575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6</xdr:col>
      <xdr:colOff>884466</xdr:colOff>
      <xdr:row>2</xdr:row>
      <xdr:rowOff>278634</xdr:rowOff>
    </xdr:from>
    <xdr:to>
      <xdr:col>9</xdr:col>
      <xdr:colOff>40822</xdr:colOff>
      <xdr:row>6</xdr:row>
      <xdr:rowOff>5925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262233" y="743454"/>
          <a:ext cx="2450226" cy="8588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775608</xdr:colOff>
      <xdr:row>3</xdr:row>
      <xdr:rowOff>163287</xdr:rowOff>
    </xdr:from>
    <xdr:to>
      <xdr:col>8</xdr:col>
      <xdr:colOff>1224643</xdr:colOff>
      <xdr:row>7</xdr:row>
      <xdr:rowOff>13405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97169" y="1016727"/>
          <a:ext cx="2071247" cy="8457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775608</xdr:colOff>
      <xdr:row>3</xdr:row>
      <xdr:rowOff>163287</xdr:rowOff>
    </xdr:from>
    <xdr:to>
      <xdr:col>8</xdr:col>
      <xdr:colOff>1224643</xdr:colOff>
      <xdr:row>7</xdr:row>
      <xdr:rowOff>13405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97169" y="1016727"/>
          <a:ext cx="2071247" cy="8457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220980</xdr:colOff>
      <xdr:row>108</xdr:row>
      <xdr:rowOff>168592</xdr:rowOff>
    </xdr:from>
    <xdr:to>
      <xdr:col>17</xdr:col>
      <xdr:colOff>1905</xdr:colOff>
      <xdr:row>127</xdr:row>
      <xdr:rowOff>99060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381000</xdr:colOff>
      <xdr:row>3</xdr:row>
      <xdr:rowOff>40822</xdr:rowOff>
    </xdr:from>
    <xdr:to>
      <xdr:col>17</xdr:col>
      <xdr:colOff>40820</xdr:colOff>
      <xdr:row>6</xdr:row>
      <xdr:rowOff>67470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723585" y="894262"/>
          <a:ext cx="2310224" cy="8457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220980</xdr:colOff>
      <xdr:row>72</xdr:row>
      <xdr:rowOff>168592</xdr:rowOff>
    </xdr:from>
    <xdr:to>
      <xdr:col>6</xdr:col>
      <xdr:colOff>1905</xdr:colOff>
      <xdr:row>91</xdr:row>
      <xdr:rowOff>99060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381000</xdr:colOff>
      <xdr:row>3</xdr:row>
      <xdr:rowOff>40822</xdr:rowOff>
    </xdr:from>
    <xdr:to>
      <xdr:col>6</xdr:col>
      <xdr:colOff>40820</xdr:colOff>
      <xdr:row>6</xdr:row>
      <xdr:rowOff>67470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32935" y="894262"/>
          <a:ext cx="2310224" cy="8457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9"/>
  <sheetViews>
    <sheetView showGridLines="0" zoomScale="130" workbookViewId="0"/>
  </sheetViews>
  <sheetFormatPr baseColWidth="10" defaultColWidth="8.85546875" defaultRowHeight="23.25"/>
  <cols>
    <col min="1" max="3" width="8.85546875" style="150"/>
    <col min="4" max="4" width="44.85546875" style="150" customWidth="1"/>
    <col min="5" max="16384" width="8.85546875" style="150"/>
  </cols>
  <sheetData>
    <row r="3" spans="2:7" ht="33.75">
      <c r="B3" s="179" t="s">
        <v>271</v>
      </c>
    </row>
    <row r="4" spans="2:7" ht="33.75">
      <c r="B4" s="170" t="s">
        <v>313</v>
      </c>
    </row>
    <row r="6" spans="2:7" s="173" customFormat="1" ht="38.450000000000003" customHeight="1">
      <c r="B6" s="177" t="s">
        <v>402</v>
      </c>
      <c r="D6" s="173" t="s">
        <v>124</v>
      </c>
    </row>
    <row r="7" spans="2:7" s="173" customFormat="1" ht="38.450000000000003" customHeight="1">
      <c r="B7" s="177" t="s">
        <v>478</v>
      </c>
      <c r="D7" s="186">
        <v>44166</v>
      </c>
      <c r="E7" s="186"/>
      <c r="F7" s="186"/>
      <c r="G7" s="171"/>
    </row>
    <row r="19" spans="3:3">
      <c r="C19" s="164" t="s">
        <v>165</v>
      </c>
    </row>
  </sheetData>
  <mergeCells count="1">
    <mergeCell ref="D7:F7"/>
  </mergeCells>
  <pageMargins left="0.7" right="0.7" top="0.75" bottom="0.75" header="0.3" footer="0.3"/>
  <pageSetup paperSize="9" orientation="portrait" verticalDpi="59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109"/>
  <sheetViews>
    <sheetView showGridLines="0" zoomScale="70" workbookViewId="0">
      <pane ySplit="15" topLeftCell="A71" activePane="bottomLeft" state="frozen"/>
      <selection activeCell="C29" sqref="C29"/>
      <selection pane="bottomLeft"/>
    </sheetView>
  </sheetViews>
  <sheetFormatPr baseColWidth="10" defaultColWidth="9.140625" defaultRowHeight="12.75" outlineLevelRow="1"/>
  <cols>
    <col min="1" max="1" width="3.28515625" style="79" customWidth="1"/>
    <col min="2" max="2" width="9.7109375" style="79" customWidth="1"/>
    <col min="3" max="3" width="43.7109375" style="79" customWidth="1"/>
    <col min="4" max="15" width="17.7109375" style="79" customWidth="1"/>
    <col min="16" max="16" width="2.85546875" style="79" hidden="1" customWidth="1"/>
    <col min="17" max="17" width="30.5703125" style="79" customWidth="1"/>
    <col min="18" max="18" width="4.5703125" style="79" customWidth="1"/>
    <col min="19" max="19" width="3.85546875" style="79" customWidth="1"/>
    <col min="20" max="16384" width="9.140625" style="79"/>
  </cols>
  <sheetData>
    <row r="1" spans="2:28" s="40" customFormat="1" ht="15.6" customHeight="1">
      <c r="B1" s="59" t="s">
        <v>513</v>
      </c>
    </row>
    <row r="2" spans="2:28" s="40" customFormat="1" ht="21" customHeight="1">
      <c r="B2" s="82" t="s">
        <v>124</v>
      </c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Q2" s="8"/>
      <c r="R2" s="8"/>
    </row>
    <row r="3" spans="2:28" s="40" customFormat="1" ht="30.6" customHeight="1">
      <c r="B3" s="85" t="s">
        <v>231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T3" s="8"/>
      <c r="U3" s="8"/>
      <c r="W3" s="8"/>
      <c r="Y3" s="8"/>
      <c r="Z3" s="8"/>
    </row>
    <row r="4" spans="2:28" s="40" customFormat="1" ht="21" customHeight="1"/>
    <row r="5" spans="2:28" s="40" customFormat="1" ht="15">
      <c r="B5" s="75" t="s">
        <v>201</v>
      </c>
      <c r="C5" s="109"/>
      <c r="D5" s="189" t="s">
        <v>121</v>
      </c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</row>
    <row r="6" spans="2:28" s="40" customFormat="1" ht="30" customHeight="1">
      <c r="B6" s="196">
        <f>Q103</f>
        <v>0.71040665189413066</v>
      </c>
      <c r="C6" s="197"/>
      <c r="D6" s="198">
        <f>Q106</f>
        <v>-1.3211383095980942E-2</v>
      </c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77"/>
      <c r="U6" s="77"/>
      <c r="W6" s="77"/>
    </row>
    <row r="7" spans="2:28" s="40" customFormat="1" ht="13.9" customHeight="1"/>
    <row r="8" spans="2:28" s="40" customFormat="1" ht="15.6" customHeight="1">
      <c r="B8" s="83" t="s">
        <v>268</v>
      </c>
      <c r="C8" s="116">
        <v>202012</v>
      </c>
      <c r="S8" s="33"/>
      <c r="V8" s="33"/>
      <c r="X8" s="33"/>
      <c r="AA8" s="33"/>
    </row>
    <row r="9" spans="2:28" s="45" customFormat="1" ht="6.6" customHeight="1">
      <c r="B9" s="81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4"/>
      <c r="Q9" s="34"/>
      <c r="R9" s="166"/>
      <c r="S9" s="142"/>
      <c r="T9" s="142"/>
    </row>
    <row r="10" spans="2:28" s="126" customFormat="1" ht="18">
      <c r="B10" s="103"/>
      <c r="C10" s="103"/>
      <c r="D10" s="194" t="s">
        <v>233</v>
      </c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25" t="s">
        <v>312</v>
      </c>
      <c r="R10" s="136"/>
      <c r="S10" s="136"/>
      <c r="T10" s="118"/>
    </row>
    <row r="11" spans="2:28" s="126" customFormat="1" ht="18">
      <c r="B11" s="154"/>
      <c r="C11" s="103"/>
      <c r="D11" s="60">
        <v>202001</v>
      </c>
      <c r="E11" s="60">
        <v>202002</v>
      </c>
      <c r="F11" s="60">
        <v>202003</v>
      </c>
      <c r="G11" s="60">
        <v>202004</v>
      </c>
      <c r="H11" s="60">
        <v>202005</v>
      </c>
      <c r="I11" s="60">
        <v>202006</v>
      </c>
      <c r="J11" s="60">
        <v>202007</v>
      </c>
      <c r="K11" s="60">
        <v>202008</v>
      </c>
      <c r="L11" s="60">
        <v>202009</v>
      </c>
      <c r="M11" s="60">
        <v>202010</v>
      </c>
      <c r="N11" s="60">
        <v>202011</v>
      </c>
      <c r="O11" s="60">
        <v>202012</v>
      </c>
      <c r="P11" s="25"/>
      <c r="Q11" s="25" t="s">
        <v>510</v>
      </c>
      <c r="R11" s="136"/>
      <c r="S11" s="136"/>
      <c r="T11" s="118"/>
    </row>
    <row r="12" spans="2:28" s="45" customFormat="1" ht="6.6" customHeight="1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</row>
    <row r="13" spans="2:28" s="45" customFormat="1" ht="2.4500000000000002" customHeight="1">
      <c r="B13" s="54"/>
      <c r="C13" s="54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17"/>
      <c r="S13" s="17"/>
      <c r="T13" s="17"/>
    </row>
    <row r="14" spans="2:28" s="45" customFormat="1" ht="6.6" customHeight="1">
      <c r="B14" s="56"/>
      <c r="C14" s="56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spans="2:28" s="45" customFormat="1" ht="15" hidden="1" outlineLevel="1">
      <c r="B15" s="158">
        <v>3900</v>
      </c>
      <c r="C15" s="147" t="s">
        <v>516</v>
      </c>
      <c r="D15" s="46">
        <f t="shared" ref="D15:H16" si="0">0*-1</f>
        <v>0</v>
      </c>
      <c r="E15" s="46">
        <f t="shared" si="0"/>
        <v>0</v>
      </c>
      <c r="F15" s="46">
        <f t="shared" si="0"/>
        <v>0</v>
      </c>
      <c r="G15" s="46">
        <f t="shared" si="0"/>
        <v>0</v>
      </c>
      <c r="H15" s="46">
        <f t="shared" si="0"/>
        <v>0</v>
      </c>
      <c r="I15" s="46">
        <f t="shared" ref="I15:N15" si="1">0*-1</f>
        <v>0</v>
      </c>
      <c r="J15" s="46">
        <f t="shared" si="1"/>
        <v>0</v>
      </c>
      <c r="K15" s="46">
        <f t="shared" si="1"/>
        <v>0</v>
      </c>
      <c r="L15" s="46">
        <f t="shared" si="1"/>
        <v>0</v>
      </c>
      <c r="M15" s="46">
        <f t="shared" si="1"/>
        <v>0</v>
      </c>
      <c r="N15" s="46">
        <f t="shared" si="1"/>
        <v>0</v>
      </c>
      <c r="O15" s="46">
        <f>-27689.6*-1</f>
        <v>27689.599999999999</v>
      </c>
      <c r="P15" s="46"/>
      <c r="Q15" s="168">
        <f t="shared" ref="Q15:Q27" si="2">SUM(D15:O15)</f>
        <v>27689.599999999999</v>
      </c>
      <c r="R15" s="46"/>
      <c r="S15" s="138"/>
      <c r="T15" s="138"/>
      <c r="U15" s="31"/>
      <c r="V15" s="31"/>
      <c r="W15" s="31"/>
      <c r="X15" s="31"/>
      <c r="Y15" s="31"/>
      <c r="Z15" s="31"/>
      <c r="AA15" s="31"/>
      <c r="AB15" s="31"/>
    </row>
    <row r="16" spans="2:28" s="45" customFormat="1" ht="15" hidden="1" outlineLevel="1">
      <c r="B16" s="158">
        <v>3611</v>
      </c>
      <c r="C16" s="147" t="s">
        <v>320</v>
      </c>
      <c r="D16" s="46">
        <f t="shared" si="0"/>
        <v>0</v>
      </c>
      <c r="E16" s="46">
        <f t="shared" si="0"/>
        <v>0</v>
      </c>
      <c r="F16" s="46">
        <f t="shared" si="0"/>
        <v>0</v>
      </c>
      <c r="G16" s="46">
        <f t="shared" si="0"/>
        <v>0</v>
      </c>
      <c r="H16" s="46">
        <f t="shared" si="0"/>
        <v>0</v>
      </c>
      <c r="I16" s="46">
        <f>-1184*-1</f>
        <v>1184</v>
      </c>
      <c r="J16" s="46">
        <f>-3456*-1</f>
        <v>3456</v>
      </c>
      <c r="K16" s="46">
        <f>-2080*-1</f>
        <v>2080</v>
      </c>
      <c r="L16" s="46">
        <f>-1904*-1</f>
        <v>1904</v>
      </c>
      <c r="M16" s="46">
        <f>-96*-1</f>
        <v>96</v>
      </c>
      <c r="N16" s="46">
        <f t="shared" ref="N16:O19" si="3">0*-1</f>
        <v>0</v>
      </c>
      <c r="O16" s="46">
        <f t="shared" si="3"/>
        <v>0</v>
      </c>
      <c r="P16" s="46"/>
      <c r="Q16" s="168">
        <f t="shared" si="2"/>
        <v>8720</v>
      </c>
      <c r="R16" s="46"/>
      <c r="S16" s="138"/>
      <c r="T16" s="138"/>
      <c r="U16" s="31"/>
      <c r="V16" s="31"/>
      <c r="W16" s="31"/>
      <c r="X16" s="31"/>
      <c r="Y16" s="31"/>
      <c r="Z16" s="31"/>
      <c r="AA16" s="31"/>
      <c r="AB16" s="31"/>
    </row>
    <row r="17" spans="2:28" s="45" customFormat="1" ht="15" hidden="1" outlineLevel="1">
      <c r="B17" s="158">
        <v>3200</v>
      </c>
      <c r="C17" s="147" t="s">
        <v>180</v>
      </c>
      <c r="D17" s="46">
        <f>-35550*-1</f>
        <v>35550</v>
      </c>
      <c r="E17" s="46">
        <f>-12200*-1</f>
        <v>12200</v>
      </c>
      <c r="F17" s="46">
        <f>-4100*-1</f>
        <v>4100</v>
      </c>
      <c r="G17" s="46">
        <f>-51800*-1</f>
        <v>51800</v>
      </c>
      <c r="H17" s="46">
        <f>-25700*-1</f>
        <v>25700</v>
      </c>
      <c r="I17" s="46">
        <f>-7000*-1</f>
        <v>7000</v>
      </c>
      <c r="J17" s="46">
        <f>-850*-1</f>
        <v>850</v>
      </c>
      <c r="K17" s="46">
        <f>-6150*-1</f>
        <v>6150</v>
      </c>
      <c r="L17" s="46">
        <f t="shared" ref="L17:M17" si="4">0*-1</f>
        <v>0</v>
      </c>
      <c r="M17" s="46">
        <f t="shared" si="4"/>
        <v>0</v>
      </c>
      <c r="N17" s="46">
        <f t="shared" si="3"/>
        <v>0</v>
      </c>
      <c r="O17" s="46">
        <f t="shared" si="3"/>
        <v>0</v>
      </c>
      <c r="P17" s="46"/>
      <c r="Q17" s="168">
        <f t="shared" si="2"/>
        <v>143350</v>
      </c>
      <c r="R17" s="46"/>
      <c r="S17" s="138"/>
      <c r="T17" s="138"/>
      <c r="U17" s="31"/>
      <c r="V17" s="31"/>
      <c r="W17" s="31"/>
      <c r="X17" s="31"/>
      <c r="Y17" s="31"/>
      <c r="Z17" s="31"/>
      <c r="AA17" s="31"/>
      <c r="AB17" s="31"/>
    </row>
    <row r="18" spans="2:28" s="45" customFormat="1" ht="15" hidden="1" outlineLevel="1">
      <c r="B18" s="158">
        <v>3201</v>
      </c>
      <c r="C18" s="147" t="s">
        <v>35</v>
      </c>
      <c r="D18" s="46">
        <f t="shared" ref="D18:G24" si="5">0*-1</f>
        <v>0</v>
      </c>
      <c r="E18" s="46">
        <f t="shared" si="5"/>
        <v>0</v>
      </c>
      <c r="F18" s="46">
        <f t="shared" si="5"/>
        <v>0</v>
      </c>
      <c r="G18" s="46">
        <f t="shared" si="5"/>
        <v>0</v>
      </c>
      <c r="H18" s="46">
        <f>-2820*-1</f>
        <v>2820</v>
      </c>
      <c r="I18" s="46">
        <f>-23510*-1</f>
        <v>23510</v>
      </c>
      <c r="J18" s="46">
        <f>-50460*-1</f>
        <v>50460</v>
      </c>
      <c r="K18" s="46">
        <f>-37080*-1</f>
        <v>37080</v>
      </c>
      <c r="L18" s="46">
        <f>-27100*-1</f>
        <v>27100</v>
      </c>
      <c r="M18" s="46">
        <f>-90167.94*-1</f>
        <v>90167.94</v>
      </c>
      <c r="N18" s="46">
        <f t="shared" si="3"/>
        <v>0</v>
      </c>
      <c r="O18" s="46">
        <f t="shared" si="3"/>
        <v>0</v>
      </c>
      <c r="P18" s="46"/>
      <c r="Q18" s="168">
        <f t="shared" si="2"/>
        <v>231137.94</v>
      </c>
      <c r="R18" s="46"/>
      <c r="S18" s="138"/>
      <c r="T18" s="138"/>
      <c r="U18" s="31"/>
      <c r="V18" s="31"/>
      <c r="W18" s="31"/>
      <c r="X18" s="31"/>
      <c r="Y18" s="31"/>
      <c r="Z18" s="31"/>
      <c r="AA18" s="31"/>
      <c r="AB18" s="31"/>
    </row>
    <row r="19" spans="2:28" s="45" customFormat="1" ht="15" hidden="1" outlineLevel="1">
      <c r="B19" s="158">
        <v>3203</v>
      </c>
      <c r="C19" s="147" t="s">
        <v>543</v>
      </c>
      <c r="D19" s="46">
        <f t="shared" si="5"/>
        <v>0</v>
      </c>
      <c r="E19" s="46">
        <f t="shared" si="5"/>
        <v>0</v>
      </c>
      <c r="F19" s="46">
        <f t="shared" si="5"/>
        <v>0</v>
      </c>
      <c r="G19" s="46">
        <f t="shared" si="5"/>
        <v>0</v>
      </c>
      <c r="H19" s="46">
        <f>-1815*-1</f>
        <v>1815</v>
      </c>
      <c r="I19" s="46">
        <f>-6320*-1</f>
        <v>6320</v>
      </c>
      <c r="J19" s="46">
        <f>-7580.35*-1</f>
        <v>7580.35</v>
      </c>
      <c r="K19" s="46">
        <f>-11730*-1</f>
        <v>11730</v>
      </c>
      <c r="L19" s="46">
        <f>-3885*-1</f>
        <v>3885</v>
      </c>
      <c r="M19" s="46">
        <f>-795*-1</f>
        <v>795</v>
      </c>
      <c r="N19" s="46">
        <f t="shared" si="3"/>
        <v>0</v>
      </c>
      <c r="O19" s="46">
        <f t="shared" si="3"/>
        <v>0</v>
      </c>
      <c r="P19" s="46"/>
      <c r="Q19" s="168">
        <f t="shared" si="2"/>
        <v>32125.35</v>
      </c>
      <c r="R19" s="46"/>
      <c r="S19" s="138"/>
      <c r="T19" s="138"/>
      <c r="U19" s="31"/>
      <c r="V19" s="31"/>
      <c r="W19" s="31"/>
      <c r="X19" s="31"/>
      <c r="Y19" s="31"/>
      <c r="Z19" s="31"/>
      <c r="AA19" s="31"/>
      <c r="AB19" s="31"/>
    </row>
    <row r="20" spans="2:28" s="45" customFormat="1" ht="15" hidden="1" outlineLevel="1">
      <c r="B20" s="158">
        <v>3204</v>
      </c>
      <c r="C20" s="147" t="s">
        <v>408</v>
      </c>
      <c r="D20" s="46">
        <f t="shared" si="5"/>
        <v>0</v>
      </c>
      <c r="E20" s="46">
        <f t="shared" si="5"/>
        <v>0</v>
      </c>
      <c r="F20" s="46">
        <f t="shared" si="5"/>
        <v>0</v>
      </c>
      <c r="G20" s="46">
        <f t="shared" si="5"/>
        <v>0</v>
      </c>
      <c r="H20" s="46">
        <f t="shared" ref="H20:H22" si="6">0*-1</f>
        <v>0</v>
      </c>
      <c r="I20" s="46">
        <f>-1200*-1</f>
        <v>1200</v>
      </c>
      <c r="J20" s="46">
        <f t="shared" ref="J20:M20" si="7">0*-1</f>
        <v>0</v>
      </c>
      <c r="K20" s="46">
        <f t="shared" si="7"/>
        <v>0</v>
      </c>
      <c r="L20" s="46">
        <f t="shared" si="7"/>
        <v>0</v>
      </c>
      <c r="M20" s="46">
        <f t="shared" si="7"/>
        <v>0</v>
      </c>
      <c r="N20" s="46">
        <f>-1000*-1</f>
        <v>1000</v>
      </c>
      <c r="O20" s="46">
        <f t="shared" ref="O20:O27" si="8">0*-1</f>
        <v>0</v>
      </c>
      <c r="P20" s="46"/>
      <c r="Q20" s="168">
        <f t="shared" si="2"/>
        <v>2200</v>
      </c>
      <c r="R20" s="46"/>
      <c r="S20" s="138"/>
      <c r="T20" s="138"/>
      <c r="U20" s="31"/>
      <c r="V20" s="31"/>
      <c r="W20" s="31"/>
      <c r="X20" s="31"/>
      <c r="Y20" s="31"/>
      <c r="Z20" s="31"/>
      <c r="AA20" s="31"/>
      <c r="AB20" s="31"/>
    </row>
    <row r="21" spans="2:28" s="45" customFormat="1" ht="15" hidden="1" outlineLevel="1">
      <c r="B21" s="158">
        <v>3002</v>
      </c>
      <c r="C21" s="147" t="s">
        <v>515</v>
      </c>
      <c r="D21" s="46">
        <f t="shared" si="5"/>
        <v>0</v>
      </c>
      <c r="E21" s="46">
        <f t="shared" si="5"/>
        <v>0</v>
      </c>
      <c r="F21" s="46">
        <f t="shared" si="5"/>
        <v>0</v>
      </c>
      <c r="G21" s="46">
        <f t="shared" si="5"/>
        <v>0</v>
      </c>
      <c r="H21" s="46">
        <f t="shared" si="6"/>
        <v>0</v>
      </c>
      <c r="I21" s="46">
        <f>0*-1</f>
        <v>0</v>
      </c>
      <c r="J21" s="46">
        <f>-3072*-1</f>
        <v>3072</v>
      </c>
      <c r="K21" s="46">
        <f>-13040*-1</f>
        <v>13040</v>
      </c>
      <c r="L21" s="46">
        <f>-11951.36*-1</f>
        <v>11951.36</v>
      </c>
      <c r="M21" s="46">
        <f>-2112*-1</f>
        <v>2112</v>
      </c>
      <c r="N21" s="46">
        <f t="shared" ref="N21:N27" si="9">0*-1</f>
        <v>0</v>
      </c>
      <c r="O21" s="46">
        <f t="shared" si="8"/>
        <v>0</v>
      </c>
      <c r="P21" s="46"/>
      <c r="Q21" s="168">
        <f t="shared" si="2"/>
        <v>30175.360000000001</v>
      </c>
      <c r="R21" s="46"/>
      <c r="S21" s="138"/>
      <c r="T21" s="138"/>
      <c r="U21" s="31"/>
      <c r="V21" s="31"/>
      <c r="W21" s="31"/>
      <c r="X21" s="31"/>
      <c r="Y21" s="31"/>
      <c r="Z21" s="31"/>
      <c r="AA21" s="31"/>
      <c r="AB21" s="31"/>
    </row>
    <row r="22" spans="2:28" s="45" customFormat="1" ht="15" hidden="1" outlineLevel="1">
      <c r="B22" s="158">
        <v>3000</v>
      </c>
      <c r="C22" s="147" t="s">
        <v>319</v>
      </c>
      <c r="D22" s="46">
        <f t="shared" si="5"/>
        <v>0</v>
      </c>
      <c r="E22" s="46">
        <f t="shared" si="5"/>
        <v>0</v>
      </c>
      <c r="F22" s="46">
        <f t="shared" si="5"/>
        <v>0</v>
      </c>
      <c r="G22" s="46">
        <f t="shared" si="5"/>
        <v>0</v>
      </c>
      <c r="H22" s="46">
        <f t="shared" si="6"/>
        <v>0</v>
      </c>
      <c r="I22" s="46">
        <f>-7338.4*-1</f>
        <v>7338.4</v>
      </c>
      <c r="J22" s="46">
        <f>-11062.4*-1</f>
        <v>11062.4</v>
      </c>
      <c r="K22" s="46">
        <f>-7304.8*-1</f>
        <v>7304.8</v>
      </c>
      <c r="L22" s="46">
        <f>-4812.8*-1</f>
        <v>4812.8</v>
      </c>
      <c r="M22" s="46">
        <f>-4148.8*-1</f>
        <v>4148.8</v>
      </c>
      <c r="N22" s="46">
        <f t="shared" si="9"/>
        <v>0</v>
      </c>
      <c r="O22" s="46">
        <f t="shared" si="8"/>
        <v>0</v>
      </c>
      <c r="P22" s="46"/>
      <c r="Q22" s="168">
        <f t="shared" si="2"/>
        <v>34667.199999999997</v>
      </c>
      <c r="R22" s="46"/>
      <c r="S22" s="138"/>
      <c r="T22" s="138"/>
      <c r="U22" s="31"/>
      <c r="V22" s="31"/>
      <c r="W22" s="31"/>
      <c r="X22" s="31"/>
      <c r="Y22" s="31"/>
      <c r="Z22" s="31"/>
      <c r="AA22" s="31"/>
      <c r="AB22" s="31"/>
    </row>
    <row r="23" spans="2:28" s="45" customFormat="1" ht="15" hidden="1" outlineLevel="1">
      <c r="B23" s="158">
        <v>3001</v>
      </c>
      <c r="C23" s="147" t="s">
        <v>275</v>
      </c>
      <c r="D23" s="46">
        <f t="shared" si="5"/>
        <v>0</v>
      </c>
      <c r="E23" s="46">
        <f t="shared" si="5"/>
        <v>0</v>
      </c>
      <c r="F23" s="46">
        <f t="shared" si="5"/>
        <v>0</v>
      </c>
      <c r="G23" s="46">
        <f t="shared" si="5"/>
        <v>0</v>
      </c>
      <c r="H23" s="46">
        <f>-135000*-1</f>
        <v>135000</v>
      </c>
      <c r="I23" s="46">
        <f>-5000*-1</f>
        <v>5000</v>
      </c>
      <c r="J23" s="46">
        <f t="shared" ref="J23:K27" si="10">0*-1</f>
        <v>0</v>
      </c>
      <c r="K23" s="46">
        <f t="shared" si="10"/>
        <v>0</v>
      </c>
      <c r="L23" s="46">
        <f t="shared" ref="L23:M23" si="11">10000*-1</f>
        <v>-10000</v>
      </c>
      <c r="M23" s="46">
        <f t="shared" si="11"/>
        <v>-10000</v>
      </c>
      <c r="N23" s="46">
        <f t="shared" si="9"/>
        <v>0</v>
      </c>
      <c r="O23" s="46">
        <f t="shared" si="8"/>
        <v>0</v>
      </c>
      <c r="P23" s="46"/>
      <c r="Q23" s="168">
        <f t="shared" si="2"/>
        <v>120000</v>
      </c>
      <c r="R23" s="46"/>
      <c r="S23" s="138"/>
      <c r="T23" s="138"/>
      <c r="U23" s="31"/>
      <c r="V23" s="31"/>
      <c r="W23" s="31"/>
      <c r="X23" s="31"/>
      <c r="Y23" s="31"/>
      <c r="Z23" s="31"/>
      <c r="AA23" s="31"/>
      <c r="AB23" s="31"/>
    </row>
    <row r="24" spans="2:28" s="45" customFormat="1" ht="15" hidden="1" outlineLevel="1">
      <c r="B24" s="158">
        <v>3100</v>
      </c>
      <c r="C24" s="147" t="s">
        <v>213</v>
      </c>
      <c r="D24" s="46">
        <f t="shared" si="5"/>
        <v>0</v>
      </c>
      <c r="E24" s="46">
        <f t="shared" si="5"/>
        <v>0</v>
      </c>
      <c r="F24" s="46">
        <f t="shared" si="5"/>
        <v>0</v>
      </c>
      <c r="G24" s="46">
        <f t="shared" si="5"/>
        <v>0</v>
      </c>
      <c r="H24" s="46">
        <f t="shared" ref="H24:I24" si="12">0*-1</f>
        <v>0</v>
      </c>
      <c r="I24" s="46">
        <f t="shared" si="12"/>
        <v>0</v>
      </c>
      <c r="J24" s="46">
        <f t="shared" si="10"/>
        <v>0</v>
      </c>
      <c r="K24" s="46">
        <f t="shared" si="10"/>
        <v>0</v>
      </c>
      <c r="L24" s="46">
        <f>-20500*-1</f>
        <v>20500</v>
      </c>
      <c r="M24" s="46">
        <f t="shared" ref="M24:M26" si="13">0*-1</f>
        <v>0</v>
      </c>
      <c r="N24" s="46">
        <f t="shared" si="9"/>
        <v>0</v>
      </c>
      <c r="O24" s="46">
        <f t="shared" si="8"/>
        <v>0</v>
      </c>
      <c r="P24" s="46"/>
      <c r="Q24" s="168">
        <f t="shared" si="2"/>
        <v>20500</v>
      </c>
      <c r="R24" s="46"/>
      <c r="S24" s="138"/>
      <c r="T24" s="138"/>
      <c r="U24" s="31"/>
      <c r="V24" s="31"/>
      <c r="W24" s="31"/>
      <c r="X24" s="31"/>
      <c r="Y24" s="31"/>
      <c r="Z24" s="31"/>
      <c r="AA24" s="31"/>
      <c r="AB24" s="31"/>
    </row>
    <row r="25" spans="2:28" s="45" customFormat="1" ht="15" hidden="1" outlineLevel="1">
      <c r="B25" s="158">
        <v>3440</v>
      </c>
      <c r="C25" s="147" t="s">
        <v>37</v>
      </c>
      <c r="D25" s="46">
        <f>-8512.25*-1</f>
        <v>8512.25</v>
      </c>
      <c r="E25" s="46">
        <f t="shared" ref="E25:G27" si="14">0*-1</f>
        <v>0</v>
      </c>
      <c r="F25" s="46">
        <f t="shared" si="14"/>
        <v>0</v>
      </c>
      <c r="G25" s="46">
        <f t="shared" si="14"/>
        <v>0</v>
      </c>
      <c r="H25" s="46">
        <f>-8016.56*-1</f>
        <v>8016.56</v>
      </c>
      <c r="I25" s="46">
        <f>0*-1</f>
        <v>0</v>
      </c>
      <c r="J25" s="46">
        <f t="shared" si="10"/>
        <v>0</v>
      </c>
      <c r="K25" s="46">
        <f t="shared" si="10"/>
        <v>0</v>
      </c>
      <c r="L25" s="46">
        <f>-8636.61*-1</f>
        <v>8636.61</v>
      </c>
      <c r="M25" s="46">
        <f t="shared" si="13"/>
        <v>0</v>
      </c>
      <c r="N25" s="46">
        <f t="shared" si="9"/>
        <v>0</v>
      </c>
      <c r="O25" s="46">
        <f t="shared" si="8"/>
        <v>0</v>
      </c>
      <c r="P25" s="46"/>
      <c r="Q25" s="168">
        <f t="shared" si="2"/>
        <v>25165.420000000002</v>
      </c>
      <c r="R25" s="46"/>
      <c r="S25" s="138"/>
      <c r="T25" s="138"/>
      <c r="U25" s="31"/>
      <c r="V25" s="31"/>
      <c r="W25" s="31"/>
      <c r="X25" s="31"/>
      <c r="Y25" s="31"/>
      <c r="Z25" s="31"/>
      <c r="AA25" s="31"/>
      <c r="AB25" s="31"/>
    </row>
    <row r="26" spans="2:28" s="45" customFormat="1" ht="15" hidden="1" outlineLevel="1">
      <c r="B26" s="158">
        <v>3400</v>
      </c>
      <c r="C26" s="147" t="s">
        <v>36</v>
      </c>
      <c r="D26" s="46">
        <f t="shared" ref="D26:D27" si="15">0*-1</f>
        <v>0</v>
      </c>
      <c r="E26" s="46">
        <f t="shared" si="14"/>
        <v>0</v>
      </c>
      <c r="F26" s="46">
        <f t="shared" si="14"/>
        <v>0</v>
      </c>
      <c r="G26" s="46">
        <f t="shared" si="14"/>
        <v>0</v>
      </c>
      <c r="H26" s="46">
        <f>0*-1</f>
        <v>0</v>
      </c>
      <c r="I26" s="46">
        <f>-52000*-1</f>
        <v>52000</v>
      </c>
      <c r="J26" s="46">
        <f t="shared" si="10"/>
        <v>0</v>
      </c>
      <c r="K26" s="46">
        <f t="shared" si="10"/>
        <v>0</v>
      </c>
      <c r="L26" s="46">
        <f t="shared" ref="L26:L27" si="16">0*-1</f>
        <v>0</v>
      </c>
      <c r="M26" s="46">
        <f t="shared" si="13"/>
        <v>0</v>
      </c>
      <c r="N26" s="46">
        <f t="shared" si="9"/>
        <v>0</v>
      </c>
      <c r="O26" s="46">
        <f t="shared" si="8"/>
        <v>0</v>
      </c>
      <c r="P26" s="46"/>
      <c r="Q26" s="168">
        <f t="shared" si="2"/>
        <v>52000</v>
      </c>
      <c r="R26" s="46"/>
      <c r="S26" s="138"/>
      <c r="T26" s="138"/>
      <c r="U26" s="31"/>
      <c r="V26" s="31"/>
      <c r="W26" s="31"/>
      <c r="X26" s="31"/>
      <c r="Y26" s="31"/>
      <c r="Z26" s="31"/>
      <c r="AA26" s="31"/>
      <c r="AB26" s="31"/>
    </row>
    <row r="27" spans="2:28" s="45" customFormat="1" ht="15" hidden="1" outlineLevel="1">
      <c r="B27" s="158">
        <v>3410</v>
      </c>
      <c r="C27" s="147" t="s">
        <v>65</v>
      </c>
      <c r="D27" s="46">
        <f t="shared" si="15"/>
        <v>0</v>
      </c>
      <c r="E27" s="46">
        <f t="shared" si="14"/>
        <v>0</v>
      </c>
      <c r="F27" s="46">
        <f t="shared" si="14"/>
        <v>0</v>
      </c>
      <c r="G27" s="46">
        <f t="shared" si="14"/>
        <v>0</v>
      </c>
      <c r="H27" s="46">
        <f>-2348*-1</f>
        <v>2348</v>
      </c>
      <c r="I27" s="46">
        <f>0*-1</f>
        <v>0</v>
      </c>
      <c r="J27" s="46">
        <f t="shared" si="10"/>
        <v>0</v>
      </c>
      <c r="K27" s="46">
        <f t="shared" si="10"/>
        <v>0</v>
      </c>
      <c r="L27" s="46">
        <f t="shared" si="16"/>
        <v>0</v>
      </c>
      <c r="M27" s="46">
        <f>-8711*-1</f>
        <v>8711</v>
      </c>
      <c r="N27" s="46">
        <f t="shared" si="9"/>
        <v>0</v>
      </c>
      <c r="O27" s="46">
        <f t="shared" si="8"/>
        <v>0</v>
      </c>
      <c r="P27" s="46"/>
      <c r="Q27" s="168">
        <f t="shared" si="2"/>
        <v>11059</v>
      </c>
      <c r="R27" s="46"/>
      <c r="S27" s="138"/>
      <c r="T27" s="138"/>
      <c r="U27" s="31"/>
      <c r="V27" s="31"/>
      <c r="W27" s="31"/>
      <c r="X27" s="31"/>
      <c r="Y27" s="31"/>
      <c r="Z27" s="31"/>
      <c r="AA27" s="31"/>
      <c r="AB27" s="31"/>
    </row>
    <row r="28" spans="2:28" s="127" customFormat="1" ht="20.25" collapsed="1">
      <c r="B28" s="7" t="s">
        <v>198</v>
      </c>
      <c r="C28" s="7"/>
      <c r="D28" s="1">
        <f t="shared" ref="D28:O28" si="17">SUM(D15:D27)</f>
        <v>44062.25</v>
      </c>
      <c r="E28" s="1">
        <f t="shared" si="17"/>
        <v>12200</v>
      </c>
      <c r="F28" s="1">
        <f t="shared" si="17"/>
        <v>4100</v>
      </c>
      <c r="G28" s="1">
        <f t="shared" si="17"/>
        <v>51800</v>
      </c>
      <c r="H28" s="1">
        <f t="shared" si="17"/>
        <v>175699.56</v>
      </c>
      <c r="I28" s="1">
        <f t="shared" si="17"/>
        <v>103552.4</v>
      </c>
      <c r="J28" s="1">
        <f t="shared" si="17"/>
        <v>76480.75</v>
      </c>
      <c r="K28" s="1">
        <f t="shared" si="17"/>
        <v>77384.800000000003</v>
      </c>
      <c r="L28" s="1">
        <f t="shared" si="17"/>
        <v>68789.77</v>
      </c>
      <c r="M28" s="1">
        <f t="shared" si="17"/>
        <v>96030.74</v>
      </c>
      <c r="N28" s="1">
        <f t="shared" si="17"/>
        <v>1000</v>
      </c>
      <c r="O28" s="1">
        <f t="shared" si="17"/>
        <v>27689.599999999999</v>
      </c>
      <c r="P28" s="1"/>
      <c r="Q28" s="70">
        <f t="shared" ref="Q28:Q34" si="18">SUM(D28:O28)</f>
        <v>738789.87</v>
      </c>
      <c r="R28" s="1"/>
      <c r="S28" s="1"/>
      <c r="T28" s="1"/>
      <c r="U28" s="49"/>
      <c r="V28" s="49"/>
      <c r="W28" s="49"/>
      <c r="X28" s="49"/>
      <c r="Y28" s="49"/>
      <c r="Z28" s="49"/>
      <c r="AA28" s="49"/>
      <c r="AB28" s="49"/>
    </row>
    <row r="29" spans="2:28" s="127" customFormat="1" ht="20.25" hidden="1" outlineLevel="1">
      <c r="B29" s="18">
        <v>4190</v>
      </c>
      <c r="C29" s="19" t="s">
        <v>89</v>
      </c>
      <c r="D29" s="3"/>
      <c r="E29" s="3"/>
      <c r="F29" s="3"/>
      <c r="G29" s="3"/>
      <c r="H29" s="3"/>
      <c r="I29" s="3"/>
      <c r="J29" s="3"/>
      <c r="K29" s="3"/>
      <c r="L29" s="3"/>
      <c r="M29" s="3">
        <v>18550.5</v>
      </c>
      <c r="N29" s="3"/>
      <c r="O29" s="3"/>
      <c r="P29" s="3"/>
      <c r="Q29" s="70">
        <f t="shared" si="18"/>
        <v>18550.5</v>
      </c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</row>
    <row r="30" spans="2:28" s="127" customFormat="1" ht="20.25" hidden="1" outlineLevel="1">
      <c r="B30" s="18">
        <v>4500</v>
      </c>
      <c r="C30" s="19" t="s">
        <v>277</v>
      </c>
      <c r="D30" s="3"/>
      <c r="E30" s="3"/>
      <c r="F30" s="3"/>
      <c r="G30" s="3"/>
      <c r="H30" s="3"/>
      <c r="I30" s="3"/>
      <c r="J30" s="3"/>
      <c r="K30" s="3"/>
      <c r="L30" s="3"/>
      <c r="M30" s="3">
        <v>32515.75</v>
      </c>
      <c r="N30" s="3"/>
      <c r="O30" s="3"/>
      <c r="P30" s="3"/>
      <c r="Q30" s="70">
        <f t="shared" si="18"/>
        <v>32515.75</v>
      </c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</row>
    <row r="31" spans="2:28" s="127" customFormat="1" ht="20.25" hidden="1" outlineLevel="1">
      <c r="B31" s="18">
        <v>4001</v>
      </c>
      <c r="C31" s="19" t="s">
        <v>88</v>
      </c>
      <c r="D31" s="3"/>
      <c r="E31" s="3"/>
      <c r="F31" s="3"/>
      <c r="G31" s="3"/>
      <c r="H31" s="3">
        <v>3840</v>
      </c>
      <c r="I31" s="3"/>
      <c r="J31" s="3"/>
      <c r="K31" s="3">
        <v>3056</v>
      </c>
      <c r="L31" s="3">
        <v>3030</v>
      </c>
      <c r="M31" s="3"/>
      <c r="N31" s="3"/>
      <c r="O31" s="3"/>
      <c r="P31" s="3"/>
      <c r="Q31" s="70">
        <f t="shared" si="18"/>
        <v>9926</v>
      </c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</row>
    <row r="32" spans="2:28" s="127" customFormat="1" ht="20.25" hidden="1" outlineLevel="1">
      <c r="B32" s="18">
        <v>4000</v>
      </c>
      <c r="C32" s="19" t="s">
        <v>87</v>
      </c>
      <c r="D32" s="3"/>
      <c r="E32" s="3"/>
      <c r="F32" s="3"/>
      <c r="G32" s="3"/>
      <c r="H32" s="3"/>
      <c r="I32" s="3">
        <v>5163.3</v>
      </c>
      <c r="J32" s="3">
        <v>4574.7</v>
      </c>
      <c r="K32" s="3">
        <v>3540</v>
      </c>
      <c r="L32" s="3"/>
      <c r="M32" s="3">
        <v>6443.6319999999996</v>
      </c>
      <c r="N32" s="3"/>
      <c r="O32" s="3"/>
      <c r="P32" s="3"/>
      <c r="Q32" s="70">
        <f t="shared" si="18"/>
        <v>19721.631999999998</v>
      </c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</row>
    <row r="33" spans="2:28" s="127" customFormat="1" ht="20.25" hidden="1" outlineLevel="1">
      <c r="B33" s="18">
        <v>4520</v>
      </c>
      <c r="C33" s="19" t="s">
        <v>449</v>
      </c>
      <c r="D33" s="3">
        <v>5328</v>
      </c>
      <c r="E33" s="3"/>
      <c r="F33" s="3"/>
      <c r="G33" s="3"/>
      <c r="H33" s="3"/>
      <c r="I33" s="3">
        <v>42011.5</v>
      </c>
      <c r="J33" s="3">
        <v>48342</v>
      </c>
      <c r="K33" s="3"/>
      <c r="L33" s="3">
        <v>26185.25</v>
      </c>
      <c r="M33" s="3"/>
      <c r="N33" s="3"/>
      <c r="O33" s="3"/>
      <c r="P33" s="3"/>
      <c r="Q33" s="70">
        <f t="shared" si="18"/>
        <v>121866.75</v>
      </c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</row>
    <row r="34" spans="2:28" s="127" customFormat="1" ht="20.25" hidden="1" outlineLevel="1">
      <c r="B34" s="18">
        <v>4101</v>
      </c>
      <c r="C34" s="19" t="s">
        <v>127</v>
      </c>
      <c r="D34" s="3"/>
      <c r="E34" s="3"/>
      <c r="F34" s="3"/>
      <c r="G34" s="3"/>
      <c r="H34" s="3"/>
      <c r="I34" s="3">
        <v>5284</v>
      </c>
      <c r="J34" s="3">
        <v>3052</v>
      </c>
      <c r="K34" s="3">
        <v>2543</v>
      </c>
      <c r="L34" s="3"/>
      <c r="M34" s="3">
        <v>489</v>
      </c>
      <c r="N34" s="3"/>
      <c r="O34" s="3"/>
      <c r="P34" s="3"/>
      <c r="Q34" s="70">
        <f t="shared" si="18"/>
        <v>11368</v>
      </c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</row>
    <row r="35" spans="2:28" s="127" customFormat="1" ht="20.25" collapsed="1">
      <c r="B35" s="7" t="s">
        <v>505</v>
      </c>
      <c r="C35" s="7"/>
      <c r="D35" s="1">
        <f t="shared" ref="D35:O35" si="19">SUM(D29:D34)</f>
        <v>5328</v>
      </c>
      <c r="E35" s="1">
        <f t="shared" si="19"/>
        <v>0</v>
      </c>
      <c r="F35" s="1">
        <f t="shared" si="19"/>
        <v>0</v>
      </c>
      <c r="G35" s="1">
        <f t="shared" si="19"/>
        <v>0</v>
      </c>
      <c r="H35" s="1">
        <f t="shared" si="19"/>
        <v>3840</v>
      </c>
      <c r="I35" s="1">
        <f t="shared" si="19"/>
        <v>52458.8</v>
      </c>
      <c r="J35" s="1">
        <f t="shared" si="19"/>
        <v>55968.7</v>
      </c>
      <c r="K35" s="1">
        <f t="shared" si="19"/>
        <v>9139</v>
      </c>
      <c r="L35" s="1">
        <f t="shared" si="19"/>
        <v>29215.25</v>
      </c>
      <c r="M35" s="1">
        <f t="shared" si="19"/>
        <v>57998.881999999998</v>
      </c>
      <c r="N35" s="1">
        <f t="shared" si="19"/>
        <v>0</v>
      </c>
      <c r="O35" s="1">
        <f t="shared" si="19"/>
        <v>0</v>
      </c>
      <c r="P35" s="1"/>
      <c r="Q35" s="70">
        <f>SUM(D35:O35)</f>
        <v>213948.63199999998</v>
      </c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</row>
    <row r="36" spans="2:28" s="127" customFormat="1" ht="6.6" customHeight="1" thickBot="1">
      <c r="B36" s="65"/>
      <c r="C36" s="61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100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</row>
    <row r="37" spans="2:28" s="127" customFormat="1" ht="21" thickTop="1">
      <c r="B37" s="73" t="s">
        <v>205</v>
      </c>
      <c r="C37" s="78"/>
      <c r="D37" s="1">
        <f t="shared" ref="D37:O37" si="20">D28-D35</f>
        <v>38734.25</v>
      </c>
      <c r="E37" s="1">
        <f t="shared" si="20"/>
        <v>12200</v>
      </c>
      <c r="F37" s="1">
        <f t="shared" si="20"/>
        <v>4100</v>
      </c>
      <c r="G37" s="1">
        <f t="shared" si="20"/>
        <v>51800</v>
      </c>
      <c r="H37" s="1">
        <f t="shared" si="20"/>
        <v>171859.56</v>
      </c>
      <c r="I37" s="1">
        <f t="shared" si="20"/>
        <v>51093.599999999991</v>
      </c>
      <c r="J37" s="1">
        <f t="shared" si="20"/>
        <v>20512.050000000003</v>
      </c>
      <c r="K37" s="1">
        <f t="shared" si="20"/>
        <v>68245.8</v>
      </c>
      <c r="L37" s="1">
        <f t="shared" si="20"/>
        <v>39574.520000000004</v>
      </c>
      <c r="M37" s="1">
        <f t="shared" si="20"/>
        <v>38031.858000000007</v>
      </c>
      <c r="N37" s="1">
        <f t="shared" si="20"/>
        <v>1000</v>
      </c>
      <c r="O37" s="1">
        <f t="shared" si="20"/>
        <v>27689.599999999999</v>
      </c>
      <c r="P37" s="1"/>
      <c r="Q37" s="70">
        <f>SUM(D37:O37)</f>
        <v>524841.23800000001</v>
      </c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</row>
    <row r="38" spans="2:28" s="127" customFormat="1" ht="6.6" customHeight="1">
      <c r="B38" s="42"/>
      <c r="C38" s="42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111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</row>
    <row r="39" spans="2:28" s="127" customFormat="1" ht="20.25" hidden="1" outlineLevel="1">
      <c r="B39" s="18">
        <v>5400</v>
      </c>
      <c r="C39" s="19" t="s">
        <v>321</v>
      </c>
      <c r="D39" s="3">
        <v>758.85</v>
      </c>
      <c r="E39" s="3">
        <v>758.85</v>
      </c>
      <c r="F39" s="3">
        <v>758.85</v>
      </c>
      <c r="G39" s="3"/>
      <c r="H39" s="3">
        <v>758.85</v>
      </c>
      <c r="I39" s="3">
        <v>758.85</v>
      </c>
      <c r="J39" s="3"/>
      <c r="K39" s="3">
        <v>2055.87</v>
      </c>
      <c r="L39" s="3">
        <v>782.28</v>
      </c>
      <c r="M39" s="3">
        <v>-574</v>
      </c>
      <c r="N39" s="3"/>
      <c r="O39" s="3"/>
      <c r="P39" s="3"/>
      <c r="Q39" s="70">
        <f t="shared" ref="Q39:Q43" si="21">SUM(D39:O39)</f>
        <v>6058.4</v>
      </c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</row>
    <row r="40" spans="2:28" s="127" customFormat="1" ht="20.25" hidden="1" outlineLevel="1">
      <c r="B40" s="18">
        <v>5405</v>
      </c>
      <c r="C40" s="19" t="s">
        <v>90</v>
      </c>
      <c r="D40" s="3">
        <v>94.85</v>
      </c>
      <c r="E40" s="3">
        <v>94.85</v>
      </c>
      <c r="F40" s="3">
        <v>94.85</v>
      </c>
      <c r="G40" s="3"/>
      <c r="H40" s="3">
        <v>94.85</v>
      </c>
      <c r="I40" s="3">
        <v>94.85</v>
      </c>
      <c r="J40" s="3"/>
      <c r="K40" s="3">
        <v>256.99</v>
      </c>
      <c r="L40" s="3">
        <v>97.78</v>
      </c>
      <c r="M40" s="3"/>
      <c r="N40" s="3"/>
      <c r="O40" s="3"/>
      <c r="P40" s="3"/>
      <c r="Q40" s="70">
        <f t="shared" si="21"/>
        <v>829.02</v>
      </c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</row>
    <row r="41" spans="2:28" s="127" customFormat="1" ht="20.25" hidden="1" outlineLevel="1">
      <c r="B41" s="18">
        <v>5092</v>
      </c>
      <c r="C41" s="19" t="s">
        <v>451</v>
      </c>
      <c r="D41" s="3">
        <v>894.88</v>
      </c>
      <c r="E41" s="3">
        <v>894.88</v>
      </c>
      <c r="F41" s="3">
        <v>894.88</v>
      </c>
      <c r="G41" s="3"/>
      <c r="H41" s="3">
        <v>894.88</v>
      </c>
      <c r="I41" s="3">
        <v>894.88</v>
      </c>
      <c r="J41" s="3"/>
      <c r="K41" s="3">
        <v>2424.38</v>
      </c>
      <c r="L41" s="3">
        <v>922.5</v>
      </c>
      <c r="M41" s="3"/>
      <c r="N41" s="3"/>
      <c r="O41" s="3"/>
      <c r="P41" s="3"/>
      <c r="Q41" s="70">
        <f t="shared" si="21"/>
        <v>7821.28</v>
      </c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</row>
    <row r="42" spans="2:28" s="127" customFormat="1" ht="20.25" hidden="1" outlineLevel="1">
      <c r="B42" s="18">
        <v>5000</v>
      </c>
      <c r="C42" s="19" t="s">
        <v>450</v>
      </c>
      <c r="D42" s="3">
        <v>7159</v>
      </c>
      <c r="E42" s="3">
        <v>7159</v>
      </c>
      <c r="F42" s="3">
        <v>7159</v>
      </c>
      <c r="G42" s="3"/>
      <c r="H42" s="3">
        <v>7159</v>
      </c>
      <c r="I42" s="3">
        <v>7159</v>
      </c>
      <c r="J42" s="3"/>
      <c r="K42" s="3">
        <v>19395</v>
      </c>
      <c r="L42" s="3">
        <v>7380</v>
      </c>
      <c r="M42" s="3"/>
      <c r="N42" s="3"/>
      <c r="O42" s="3"/>
      <c r="P42" s="3"/>
      <c r="Q42" s="70">
        <f t="shared" si="21"/>
        <v>62570</v>
      </c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</row>
    <row r="43" spans="2:28" s="127" customFormat="1" ht="20.25" hidden="1" outlineLevel="1">
      <c r="B43" s="18">
        <v>5920</v>
      </c>
      <c r="C43" s="19" t="s">
        <v>409</v>
      </c>
      <c r="D43" s="3">
        <v>1842</v>
      </c>
      <c r="E43" s="3"/>
      <c r="F43" s="3"/>
      <c r="G43" s="3"/>
      <c r="H43" s="3">
        <v>3823</v>
      </c>
      <c r="I43" s="3"/>
      <c r="J43" s="3"/>
      <c r="K43" s="3"/>
      <c r="L43" s="3"/>
      <c r="M43" s="3"/>
      <c r="N43" s="3"/>
      <c r="O43" s="3">
        <v>-1911.5</v>
      </c>
      <c r="P43" s="3"/>
      <c r="Q43" s="70">
        <f t="shared" si="21"/>
        <v>3753.5</v>
      </c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</row>
    <row r="44" spans="2:28" s="127" customFormat="1" ht="20.25" collapsed="1">
      <c r="B44" s="7" t="s">
        <v>310</v>
      </c>
      <c r="C44" s="7"/>
      <c r="D44" s="1">
        <f t="shared" ref="D44:O44" si="22">SUM(D39:D43)</f>
        <v>10749.58</v>
      </c>
      <c r="E44" s="1">
        <f t="shared" si="22"/>
        <v>8907.58</v>
      </c>
      <c r="F44" s="1">
        <f t="shared" si="22"/>
        <v>8907.58</v>
      </c>
      <c r="G44" s="1">
        <f t="shared" si="22"/>
        <v>0</v>
      </c>
      <c r="H44" s="1">
        <f t="shared" si="22"/>
        <v>12730.58</v>
      </c>
      <c r="I44" s="1">
        <f t="shared" si="22"/>
        <v>8907.58</v>
      </c>
      <c r="J44" s="1">
        <f t="shared" si="22"/>
        <v>0</v>
      </c>
      <c r="K44" s="1">
        <f t="shared" si="22"/>
        <v>24132.239999999998</v>
      </c>
      <c r="L44" s="1">
        <f t="shared" si="22"/>
        <v>9182.56</v>
      </c>
      <c r="M44" s="1">
        <f t="shared" si="22"/>
        <v>-574</v>
      </c>
      <c r="N44" s="1">
        <f t="shared" si="22"/>
        <v>0</v>
      </c>
      <c r="O44" s="1">
        <f t="shared" si="22"/>
        <v>-1911.5</v>
      </c>
      <c r="P44" s="1"/>
      <c r="Q44" s="70">
        <f>SUM(D44:O44)</f>
        <v>81032.2</v>
      </c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</row>
    <row r="45" spans="2:28" s="127" customFormat="1" ht="20.25">
      <c r="B45" s="7" t="s">
        <v>171</v>
      </c>
      <c r="C45" s="7"/>
      <c r="D45" s="1">
        <f t="shared" ref="D45:O45" si="23">SUM(0)</f>
        <v>0</v>
      </c>
      <c r="E45" s="1">
        <f t="shared" si="23"/>
        <v>0</v>
      </c>
      <c r="F45" s="1">
        <f t="shared" si="23"/>
        <v>0</v>
      </c>
      <c r="G45" s="1">
        <f t="shared" si="23"/>
        <v>0</v>
      </c>
      <c r="H45" s="1">
        <f t="shared" si="23"/>
        <v>0</v>
      </c>
      <c r="I45" s="1">
        <f t="shared" si="23"/>
        <v>0</v>
      </c>
      <c r="J45" s="1">
        <f t="shared" si="23"/>
        <v>0</v>
      </c>
      <c r="K45" s="1">
        <f t="shared" si="23"/>
        <v>0</v>
      </c>
      <c r="L45" s="1">
        <f t="shared" si="23"/>
        <v>0</v>
      </c>
      <c r="M45" s="1">
        <f t="shared" si="23"/>
        <v>0</v>
      </c>
      <c r="N45" s="1">
        <f t="shared" si="23"/>
        <v>0</v>
      </c>
      <c r="O45" s="1">
        <f t="shared" si="23"/>
        <v>0</v>
      </c>
      <c r="P45" s="1"/>
      <c r="Q45" s="70">
        <f t="shared" ref="Q45:Q47" si="24">SUM(D45:O45)</f>
        <v>0</v>
      </c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</row>
    <row r="46" spans="2:28" s="127" customFormat="1" ht="20.25" hidden="1" outlineLevel="1">
      <c r="B46" s="18">
        <v>6250</v>
      </c>
      <c r="C46" s="19" t="s">
        <v>278</v>
      </c>
      <c r="D46" s="3"/>
      <c r="E46" s="3"/>
      <c r="F46" s="3"/>
      <c r="G46" s="3"/>
      <c r="H46" s="3"/>
      <c r="I46" s="3">
        <v>707.2</v>
      </c>
      <c r="J46" s="3"/>
      <c r="K46" s="3"/>
      <c r="L46" s="3"/>
      <c r="M46" s="3"/>
      <c r="N46" s="3"/>
      <c r="O46" s="3"/>
      <c r="P46" s="3"/>
      <c r="Q46" s="70">
        <f t="shared" si="24"/>
        <v>707.2</v>
      </c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</row>
    <row r="47" spans="2:28" s="127" customFormat="1" ht="20.25" hidden="1" outlineLevel="1">
      <c r="B47" s="18">
        <v>6200</v>
      </c>
      <c r="C47" s="19" t="s">
        <v>452</v>
      </c>
      <c r="D47" s="3">
        <v>1172.2</v>
      </c>
      <c r="E47" s="3">
        <v>1155.6600000000001</v>
      </c>
      <c r="F47" s="3">
        <v>941.28</v>
      </c>
      <c r="G47" s="3">
        <v>1013.35</v>
      </c>
      <c r="H47" s="3">
        <v>885.74</v>
      </c>
      <c r="I47" s="3">
        <v>894.57600000000002</v>
      </c>
      <c r="J47" s="3">
        <v>1293.3499999999999</v>
      </c>
      <c r="K47" s="3">
        <v>1270.116</v>
      </c>
      <c r="L47" s="3">
        <v>1265.4580000000001</v>
      </c>
      <c r="M47" s="3">
        <v>1263.126</v>
      </c>
      <c r="N47" s="3">
        <v>1453.9739999999999</v>
      </c>
      <c r="O47" s="3">
        <v>1253.4559999999999</v>
      </c>
      <c r="P47" s="3"/>
      <c r="Q47" s="70">
        <f t="shared" si="24"/>
        <v>13862.286000000002</v>
      </c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</row>
    <row r="48" spans="2:28" s="127" customFormat="1" ht="20.25" collapsed="1">
      <c r="B48" s="7" t="s">
        <v>61</v>
      </c>
      <c r="C48" s="7"/>
      <c r="D48" s="1">
        <f t="shared" ref="D48:O48" si="25">SUM(D46:D47)</f>
        <v>1172.2</v>
      </c>
      <c r="E48" s="1">
        <f t="shared" si="25"/>
        <v>1155.6600000000001</v>
      </c>
      <c r="F48" s="1">
        <f t="shared" si="25"/>
        <v>941.28</v>
      </c>
      <c r="G48" s="1">
        <f t="shared" si="25"/>
        <v>1013.35</v>
      </c>
      <c r="H48" s="1">
        <f t="shared" si="25"/>
        <v>885.74</v>
      </c>
      <c r="I48" s="1">
        <f t="shared" si="25"/>
        <v>1601.7760000000001</v>
      </c>
      <c r="J48" s="1">
        <f t="shared" si="25"/>
        <v>1293.3499999999999</v>
      </c>
      <c r="K48" s="1">
        <f t="shared" si="25"/>
        <v>1270.116</v>
      </c>
      <c r="L48" s="1">
        <f t="shared" si="25"/>
        <v>1265.4580000000001</v>
      </c>
      <c r="M48" s="1">
        <f t="shared" si="25"/>
        <v>1263.126</v>
      </c>
      <c r="N48" s="1">
        <f t="shared" si="25"/>
        <v>1453.9739999999999</v>
      </c>
      <c r="O48" s="1">
        <f t="shared" si="25"/>
        <v>1253.4559999999999</v>
      </c>
      <c r="P48" s="1"/>
      <c r="Q48" s="70">
        <f t="shared" ref="Q48:Q53" si="26">SUM(D48:O48)</f>
        <v>14569.486000000001</v>
      </c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</row>
    <row r="49" spans="2:28" s="127" customFormat="1" ht="20.25" hidden="1" outlineLevel="1">
      <c r="B49" s="18">
        <v>6320</v>
      </c>
      <c r="C49" s="19" t="s">
        <v>91</v>
      </c>
      <c r="D49" s="3"/>
      <c r="E49" s="3">
        <v>1615.65</v>
      </c>
      <c r="F49" s="3">
        <v>1775.24</v>
      </c>
      <c r="G49" s="3">
        <v>1775.24</v>
      </c>
      <c r="H49" s="3"/>
      <c r="I49" s="3"/>
      <c r="J49" s="3">
        <v>-2728.7559999999999</v>
      </c>
      <c r="K49" s="3">
        <v>1775.2439999999999</v>
      </c>
      <c r="L49" s="3"/>
      <c r="M49" s="3">
        <v>1775.2439999999999</v>
      </c>
      <c r="N49" s="3">
        <v>1775.2439999999999</v>
      </c>
      <c r="O49" s="3">
        <v>1775.2439999999999</v>
      </c>
      <c r="P49" s="3"/>
      <c r="Q49" s="70">
        <f t="shared" si="26"/>
        <v>9538.35</v>
      </c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</row>
    <row r="50" spans="2:28" s="127" customFormat="1" ht="20.25" collapsed="1">
      <c r="B50" s="7" t="s">
        <v>541</v>
      </c>
      <c r="C50" s="7"/>
      <c r="D50" s="1">
        <f t="shared" ref="D50:O50" si="27">SUM(D49)</f>
        <v>0</v>
      </c>
      <c r="E50" s="1">
        <f t="shared" si="27"/>
        <v>1615.65</v>
      </c>
      <c r="F50" s="1">
        <f t="shared" si="27"/>
        <v>1775.24</v>
      </c>
      <c r="G50" s="1">
        <f t="shared" si="27"/>
        <v>1775.24</v>
      </c>
      <c r="H50" s="1">
        <f t="shared" si="27"/>
        <v>0</v>
      </c>
      <c r="I50" s="1">
        <f t="shared" si="27"/>
        <v>0</v>
      </c>
      <c r="J50" s="1">
        <f t="shared" si="27"/>
        <v>-2728.7559999999999</v>
      </c>
      <c r="K50" s="1">
        <f t="shared" si="27"/>
        <v>1775.2439999999999</v>
      </c>
      <c r="L50" s="1">
        <f t="shared" si="27"/>
        <v>0</v>
      </c>
      <c r="M50" s="1">
        <f t="shared" si="27"/>
        <v>1775.2439999999999</v>
      </c>
      <c r="N50" s="1">
        <f t="shared" si="27"/>
        <v>1775.2439999999999</v>
      </c>
      <c r="O50" s="1">
        <f t="shared" si="27"/>
        <v>1775.2439999999999</v>
      </c>
      <c r="P50" s="1"/>
      <c r="Q50" s="70">
        <f t="shared" si="26"/>
        <v>9538.35</v>
      </c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</row>
    <row r="51" spans="2:28" s="127" customFormat="1" ht="20.25" hidden="1" outlineLevel="1">
      <c r="B51" s="18">
        <v>6420</v>
      </c>
      <c r="C51" s="19" t="s">
        <v>410</v>
      </c>
      <c r="D51" s="3">
        <v>344.38</v>
      </c>
      <c r="E51" s="3">
        <v>344.38</v>
      </c>
      <c r="F51" s="3"/>
      <c r="G51" s="3">
        <v>688.76</v>
      </c>
      <c r="H51" s="3">
        <v>344.38</v>
      </c>
      <c r="I51" s="3">
        <v>344.38</v>
      </c>
      <c r="J51" s="3">
        <v>344.38</v>
      </c>
      <c r="K51" s="3">
        <v>344.38</v>
      </c>
      <c r="L51" s="3">
        <v>344.38</v>
      </c>
      <c r="M51" s="3">
        <v>344.38</v>
      </c>
      <c r="N51" s="3">
        <v>344.38</v>
      </c>
      <c r="O51" s="3">
        <v>344.38</v>
      </c>
      <c r="P51" s="3"/>
      <c r="Q51" s="70">
        <f t="shared" si="26"/>
        <v>4132.5600000000004</v>
      </c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</row>
    <row r="52" spans="2:28" s="127" customFormat="1" ht="20.25" hidden="1" outlineLevel="1">
      <c r="B52" s="18">
        <v>6401</v>
      </c>
      <c r="C52" s="19" t="s">
        <v>487</v>
      </c>
      <c r="D52" s="3"/>
      <c r="E52" s="3"/>
      <c r="F52" s="3"/>
      <c r="G52" s="3"/>
      <c r="H52" s="3">
        <v>202.58</v>
      </c>
      <c r="I52" s="3">
        <v>290.05</v>
      </c>
      <c r="J52" s="3">
        <v>576.88</v>
      </c>
      <c r="K52" s="3">
        <v>390.42</v>
      </c>
      <c r="L52" s="3">
        <v>363.26</v>
      </c>
      <c r="M52" s="3">
        <v>262.43</v>
      </c>
      <c r="N52" s="3">
        <v>201.66</v>
      </c>
      <c r="O52" s="3"/>
      <c r="P52" s="3"/>
      <c r="Q52" s="70">
        <f t="shared" si="26"/>
        <v>2287.2799999999997</v>
      </c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</row>
    <row r="53" spans="2:28" s="127" customFormat="1" ht="20.25" hidden="1" outlineLevel="1">
      <c r="B53" s="18">
        <v>6495</v>
      </c>
      <c r="C53" s="19" t="s">
        <v>279</v>
      </c>
      <c r="D53" s="3"/>
      <c r="E53" s="3"/>
      <c r="F53" s="3"/>
      <c r="G53" s="3"/>
      <c r="H53" s="3"/>
      <c r="I53" s="3"/>
      <c r="J53" s="3"/>
      <c r="K53" s="3"/>
      <c r="L53" s="3"/>
      <c r="M53" s="3">
        <v>66917</v>
      </c>
      <c r="N53" s="3"/>
      <c r="O53" s="3"/>
      <c r="P53" s="3"/>
      <c r="Q53" s="70">
        <f t="shared" si="26"/>
        <v>66917</v>
      </c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</row>
    <row r="54" spans="2:28" s="127" customFormat="1" ht="20.25" collapsed="1">
      <c r="B54" s="7" t="s">
        <v>172</v>
      </c>
      <c r="C54" s="7"/>
      <c r="D54" s="1">
        <f t="shared" ref="D54:O54" si="28">SUM(D51:D53)</f>
        <v>344.38</v>
      </c>
      <c r="E54" s="1">
        <f t="shared" si="28"/>
        <v>344.38</v>
      </c>
      <c r="F54" s="1">
        <f t="shared" si="28"/>
        <v>0</v>
      </c>
      <c r="G54" s="1">
        <f t="shared" si="28"/>
        <v>688.76</v>
      </c>
      <c r="H54" s="1">
        <f t="shared" si="28"/>
        <v>546.96</v>
      </c>
      <c r="I54" s="1">
        <f t="shared" si="28"/>
        <v>634.43000000000006</v>
      </c>
      <c r="J54" s="1">
        <f t="shared" si="28"/>
        <v>921.26</v>
      </c>
      <c r="K54" s="1">
        <f t="shared" si="28"/>
        <v>734.8</v>
      </c>
      <c r="L54" s="1">
        <f t="shared" si="28"/>
        <v>707.64</v>
      </c>
      <c r="M54" s="1">
        <f t="shared" si="28"/>
        <v>67523.81</v>
      </c>
      <c r="N54" s="1">
        <f t="shared" si="28"/>
        <v>546.04</v>
      </c>
      <c r="O54" s="1">
        <f t="shared" si="28"/>
        <v>344.38</v>
      </c>
      <c r="P54" s="1"/>
      <c r="Q54" s="70">
        <f t="shared" ref="Q54:Q58" si="29">SUM(D54:O54)</f>
        <v>73336.84</v>
      </c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</row>
    <row r="55" spans="2:28" s="127" customFormat="1" ht="20.25" hidden="1" outlineLevel="1">
      <c r="B55" s="18">
        <v>6570</v>
      </c>
      <c r="C55" s="19" t="s">
        <v>517</v>
      </c>
      <c r="D55" s="3"/>
      <c r="E55" s="3"/>
      <c r="F55" s="3"/>
      <c r="G55" s="3"/>
      <c r="H55" s="3"/>
      <c r="I55" s="3"/>
      <c r="J55" s="3">
        <v>341.62</v>
      </c>
      <c r="K55" s="3"/>
      <c r="L55" s="3"/>
      <c r="M55" s="3"/>
      <c r="N55" s="3"/>
      <c r="O55" s="3"/>
      <c r="P55" s="3"/>
      <c r="Q55" s="70">
        <f t="shared" si="29"/>
        <v>341.62</v>
      </c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</row>
    <row r="56" spans="2:28" s="127" customFormat="1" ht="20.25" hidden="1" outlineLevel="1">
      <c r="B56" s="18">
        <v>6550</v>
      </c>
      <c r="C56" s="19" t="s">
        <v>345</v>
      </c>
      <c r="D56" s="3"/>
      <c r="E56" s="3"/>
      <c r="F56" s="3"/>
      <c r="G56" s="3"/>
      <c r="H56" s="3"/>
      <c r="I56" s="3">
        <v>481.14</v>
      </c>
      <c r="J56" s="3"/>
      <c r="K56" s="3"/>
      <c r="L56" s="3"/>
      <c r="M56" s="3"/>
      <c r="N56" s="3"/>
      <c r="O56" s="3"/>
      <c r="P56" s="3"/>
      <c r="Q56" s="70">
        <f t="shared" si="29"/>
        <v>481.14</v>
      </c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</row>
    <row r="57" spans="2:28" s="127" customFormat="1" ht="20.25" hidden="1" outlineLevel="1">
      <c r="B57" s="18">
        <v>6500</v>
      </c>
      <c r="C57" s="19" t="s">
        <v>245</v>
      </c>
      <c r="D57" s="3"/>
      <c r="E57" s="3"/>
      <c r="F57" s="3"/>
      <c r="G57" s="3"/>
      <c r="H57" s="3">
        <v>2302</v>
      </c>
      <c r="I57" s="3"/>
      <c r="J57" s="3"/>
      <c r="K57" s="3"/>
      <c r="L57" s="3"/>
      <c r="M57" s="3"/>
      <c r="N57" s="3"/>
      <c r="O57" s="3"/>
      <c r="P57" s="3"/>
      <c r="Q57" s="70">
        <f t="shared" si="29"/>
        <v>2302</v>
      </c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/>
    </row>
    <row r="58" spans="2:28" s="127" customFormat="1" ht="20.25" hidden="1" outlineLevel="1">
      <c r="B58" s="18">
        <v>6552</v>
      </c>
      <c r="C58" s="19" t="s">
        <v>280</v>
      </c>
      <c r="D58" s="3"/>
      <c r="E58" s="3">
        <v>4982</v>
      </c>
      <c r="F58" s="3"/>
      <c r="G58" s="3">
        <v>110.5</v>
      </c>
      <c r="H58" s="3">
        <v>418</v>
      </c>
      <c r="I58" s="3"/>
      <c r="J58" s="3"/>
      <c r="K58" s="3">
        <v>481.12</v>
      </c>
      <c r="L58" s="3"/>
      <c r="M58" s="3"/>
      <c r="N58" s="3"/>
      <c r="O58" s="3"/>
      <c r="P58" s="3"/>
      <c r="Q58" s="70">
        <f t="shared" si="29"/>
        <v>5991.62</v>
      </c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</row>
    <row r="59" spans="2:28" s="127" customFormat="1" ht="20.25" collapsed="1">
      <c r="B59" s="7" t="s">
        <v>480</v>
      </c>
      <c r="C59" s="7"/>
      <c r="D59" s="1">
        <f t="shared" ref="D59:O59" si="30">SUM(D55:D58)</f>
        <v>0</v>
      </c>
      <c r="E59" s="1">
        <f t="shared" si="30"/>
        <v>4982</v>
      </c>
      <c r="F59" s="1">
        <f t="shared" si="30"/>
        <v>0</v>
      </c>
      <c r="G59" s="1">
        <f t="shared" si="30"/>
        <v>110.5</v>
      </c>
      <c r="H59" s="1">
        <f t="shared" si="30"/>
        <v>2720</v>
      </c>
      <c r="I59" s="1">
        <f t="shared" si="30"/>
        <v>481.14</v>
      </c>
      <c r="J59" s="1">
        <f t="shared" si="30"/>
        <v>341.62</v>
      </c>
      <c r="K59" s="1">
        <f t="shared" si="30"/>
        <v>481.12</v>
      </c>
      <c r="L59" s="1">
        <f t="shared" si="30"/>
        <v>0</v>
      </c>
      <c r="M59" s="1">
        <f t="shared" si="30"/>
        <v>0</v>
      </c>
      <c r="N59" s="1">
        <f t="shared" si="30"/>
        <v>0</v>
      </c>
      <c r="O59" s="1">
        <f t="shared" si="30"/>
        <v>0</v>
      </c>
      <c r="P59" s="1"/>
      <c r="Q59" s="70">
        <f t="shared" ref="Q59:Q62" si="31">SUM(D59:O59)</f>
        <v>9116.380000000001</v>
      </c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</row>
    <row r="60" spans="2:28" s="127" customFormat="1" ht="20.25" hidden="1" outlineLevel="1">
      <c r="B60" s="18">
        <v>6620</v>
      </c>
      <c r="C60" s="19" t="s">
        <v>347</v>
      </c>
      <c r="D60" s="3"/>
      <c r="E60" s="3"/>
      <c r="F60" s="3"/>
      <c r="G60" s="3"/>
      <c r="H60" s="3"/>
      <c r="I60" s="3">
        <v>27762.61</v>
      </c>
      <c r="J60" s="3">
        <v>5523.56</v>
      </c>
      <c r="K60" s="3">
        <v>7387.232</v>
      </c>
      <c r="L60" s="3">
        <v>3000</v>
      </c>
      <c r="M60" s="3">
        <v>9731.24</v>
      </c>
      <c r="N60" s="3"/>
      <c r="O60" s="3"/>
      <c r="P60" s="3"/>
      <c r="Q60" s="70">
        <f t="shared" si="31"/>
        <v>53404.642</v>
      </c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</row>
    <row r="61" spans="2:28" s="127" customFormat="1" ht="20.25" hidden="1" outlineLevel="1">
      <c r="B61" s="18">
        <v>6610</v>
      </c>
      <c r="C61" s="19" t="s">
        <v>182</v>
      </c>
      <c r="D61" s="3"/>
      <c r="E61" s="3"/>
      <c r="F61" s="3"/>
      <c r="G61" s="3">
        <v>16385.64</v>
      </c>
      <c r="H61" s="3"/>
      <c r="I61" s="3">
        <v>37076.93</v>
      </c>
      <c r="J61" s="3">
        <v>2388.56</v>
      </c>
      <c r="K61" s="3"/>
      <c r="L61" s="3"/>
      <c r="M61" s="3"/>
      <c r="N61" s="3">
        <v>10301.91</v>
      </c>
      <c r="O61" s="3"/>
      <c r="P61" s="3"/>
      <c r="Q61" s="70">
        <f t="shared" si="31"/>
        <v>66153.039999999994</v>
      </c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</row>
    <row r="62" spans="2:28" s="127" customFormat="1" ht="20.25" hidden="1" outlineLevel="1">
      <c r="B62" s="18">
        <v>6600</v>
      </c>
      <c r="C62" s="19" t="s">
        <v>346</v>
      </c>
      <c r="D62" s="3"/>
      <c r="E62" s="3"/>
      <c r="F62" s="3"/>
      <c r="G62" s="3"/>
      <c r="H62" s="3">
        <v>1993.07</v>
      </c>
      <c r="I62" s="3">
        <v>1224.6600000000001</v>
      </c>
      <c r="J62" s="3"/>
      <c r="K62" s="3">
        <v>-1687.7639999999999</v>
      </c>
      <c r="L62" s="3"/>
      <c r="M62" s="3">
        <v>514.27</v>
      </c>
      <c r="N62" s="3"/>
      <c r="O62" s="3"/>
      <c r="P62" s="3"/>
      <c r="Q62" s="70">
        <f t="shared" si="31"/>
        <v>2044.2360000000001</v>
      </c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</row>
    <row r="63" spans="2:28" s="127" customFormat="1" ht="20.25" collapsed="1">
      <c r="B63" s="7" t="s">
        <v>443</v>
      </c>
      <c r="C63" s="7"/>
      <c r="D63" s="1">
        <f t="shared" ref="D63:O63" si="32">SUM(D60:D62)</f>
        <v>0</v>
      </c>
      <c r="E63" s="1">
        <f t="shared" si="32"/>
        <v>0</v>
      </c>
      <c r="F63" s="1">
        <f t="shared" si="32"/>
        <v>0</v>
      </c>
      <c r="G63" s="1">
        <f t="shared" si="32"/>
        <v>16385.64</v>
      </c>
      <c r="H63" s="1">
        <f t="shared" si="32"/>
        <v>1993.07</v>
      </c>
      <c r="I63" s="1">
        <f t="shared" si="32"/>
        <v>66064.2</v>
      </c>
      <c r="J63" s="1">
        <f t="shared" si="32"/>
        <v>7912.1200000000008</v>
      </c>
      <c r="K63" s="1">
        <f t="shared" si="32"/>
        <v>5699.4679999999998</v>
      </c>
      <c r="L63" s="1">
        <f t="shared" si="32"/>
        <v>3000</v>
      </c>
      <c r="M63" s="1">
        <f t="shared" si="32"/>
        <v>10245.51</v>
      </c>
      <c r="N63" s="1">
        <f t="shared" si="32"/>
        <v>10301.91</v>
      </c>
      <c r="O63" s="1">
        <f t="shared" si="32"/>
        <v>0</v>
      </c>
      <c r="P63" s="1"/>
      <c r="Q63" s="70">
        <f t="shared" ref="Q63:Q65" si="33">SUM(D63:O63)</f>
        <v>121601.91799999999</v>
      </c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</row>
    <row r="64" spans="2:28" s="127" customFormat="1" ht="20.25" hidden="1" outlineLevel="1">
      <c r="B64" s="18">
        <v>6790</v>
      </c>
      <c r="C64" s="19" t="s">
        <v>378</v>
      </c>
      <c r="D64" s="3"/>
      <c r="E64" s="3"/>
      <c r="F64" s="3"/>
      <c r="G64" s="3"/>
      <c r="H64" s="3"/>
      <c r="I64" s="3"/>
      <c r="J64" s="3"/>
      <c r="K64" s="3"/>
      <c r="L64" s="3">
        <v>0</v>
      </c>
      <c r="M64" s="3"/>
      <c r="N64" s="3"/>
      <c r="O64" s="3"/>
      <c r="P64" s="3"/>
      <c r="Q64" s="70">
        <f t="shared" si="33"/>
        <v>0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</row>
    <row r="65" spans="2:28" s="127" customFormat="1" ht="20.25" hidden="1" outlineLevel="1">
      <c r="B65" s="18">
        <v>6705</v>
      </c>
      <c r="C65" s="19" t="s">
        <v>488</v>
      </c>
      <c r="D65" s="3">
        <v>12645.35</v>
      </c>
      <c r="E65" s="3">
        <v>3612.3</v>
      </c>
      <c r="F65" s="3">
        <v>344.38</v>
      </c>
      <c r="G65" s="3">
        <v>7202.5</v>
      </c>
      <c r="H65" s="3">
        <v>2203.4699999999998</v>
      </c>
      <c r="I65" s="3">
        <v>5491.65</v>
      </c>
      <c r="J65" s="3">
        <v>3709.9</v>
      </c>
      <c r="K65" s="3">
        <v>5283.55</v>
      </c>
      <c r="L65" s="3">
        <v>5231.99</v>
      </c>
      <c r="M65" s="3">
        <v>7083.71</v>
      </c>
      <c r="N65" s="3">
        <v>740.32</v>
      </c>
      <c r="O65" s="3">
        <v>245.85</v>
      </c>
      <c r="P65" s="3"/>
      <c r="Q65" s="70">
        <f t="shared" si="33"/>
        <v>53794.97</v>
      </c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</row>
    <row r="66" spans="2:28" s="127" customFormat="1" ht="20.25" collapsed="1">
      <c r="B66" s="7" t="s">
        <v>238</v>
      </c>
      <c r="C66" s="7"/>
      <c r="D66" s="1">
        <f t="shared" ref="D66:O66" si="34">SUM(D64:D65)</f>
        <v>12645.35</v>
      </c>
      <c r="E66" s="1">
        <f t="shared" si="34"/>
        <v>3612.3</v>
      </c>
      <c r="F66" s="1">
        <f t="shared" si="34"/>
        <v>344.38</v>
      </c>
      <c r="G66" s="1">
        <f t="shared" si="34"/>
        <v>7202.5</v>
      </c>
      <c r="H66" s="1">
        <f t="shared" si="34"/>
        <v>2203.4699999999998</v>
      </c>
      <c r="I66" s="1">
        <f t="shared" si="34"/>
        <v>5491.65</v>
      </c>
      <c r="J66" s="1">
        <f t="shared" si="34"/>
        <v>3709.9</v>
      </c>
      <c r="K66" s="1">
        <f t="shared" si="34"/>
        <v>5283.55</v>
      </c>
      <c r="L66" s="1">
        <f t="shared" si="34"/>
        <v>5231.99</v>
      </c>
      <c r="M66" s="1">
        <f t="shared" si="34"/>
        <v>7083.71</v>
      </c>
      <c r="N66" s="1">
        <f t="shared" si="34"/>
        <v>740.32</v>
      </c>
      <c r="O66" s="1">
        <f t="shared" si="34"/>
        <v>245.85</v>
      </c>
      <c r="P66" s="1"/>
      <c r="Q66" s="70">
        <f t="shared" ref="Q66:Q69" si="35">SUM(D66:O66)</f>
        <v>53794.97</v>
      </c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</row>
    <row r="67" spans="2:28" s="127" customFormat="1" ht="20.25" hidden="1" outlineLevel="1">
      <c r="B67" s="18">
        <v>6840</v>
      </c>
      <c r="C67" s="19" t="s">
        <v>246</v>
      </c>
      <c r="D67" s="3"/>
      <c r="E67" s="3"/>
      <c r="F67" s="3">
        <v>4200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70">
        <f t="shared" si="35"/>
        <v>4200</v>
      </c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</row>
    <row r="68" spans="2:28" s="127" customFormat="1" ht="20.25" hidden="1" outlineLevel="1">
      <c r="B68" s="18">
        <v>6895</v>
      </c>
      <c r="C68" s="19" t="s">
        <v>411</v>
      </c>
      <c r="D68" s="3">
        <v>6215.4</v>
      </c>
      <c r="E68" s="3"/>
      <c r="F68" s="3">
        <v>580.88</v>
      </c>
      <c r="G68" s="3"/>
      <c r="H68" s="3">
        <v>147.33000000000001</v>
      </c>
      <c r="I68" s="3">
        <v>184.16</v>
      </c>
      <c r="J68" s="3"/>
      <c r="K68" s="3">
        <v>635</v>
      </c>
      <c r="L68" s="3"/>
      <c r="M68" s="3"/>
      <c r="N68" s="3"/>
      <c r="O68" s="3">
        <v>9138.94</v>
      </c>
      <c r="P68" s="3"/>
      <c r="Q68" s="70">
        <f t="shared" si="35"/>
        <v>16901.71</v>
      </c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</row>
    <row r="69" spans="2:28" s="127" customFormat="1" ht="20.25" hidden="1" outlineLevel="1">
      <c r="B69" s="18">
        <v>6800</v>
      </c>
      <c r="C69" s="19" t="s">
        <v>281</v>
      </c>
      <c r="D69" s="3"/>
      <c r="E69" s="3"/>
      <c r="F69" s="3"/>
      <c r="G69" s="3"/>
      <c r="H69" s="3">
        <v>945.62</v>
      </c>
      <c r="I69" s="3"/>
      <c r="J69" s="3"/>
      <c r="K69" s="3"/>
      <c r="L69" s="3"/>
      <c r="M69" s="3"/>
      <c r="N69" s="3"/>
      <c r="O69" s="3"/>
      <c r="P69" s="3"/>
      <c r="Q69" s="70">
        <f t="shared" si="35"/>
        <v>945.62</v>
      </c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</row>
    <row r="70" spans="2:28" s="127" customFormat="1" ht="20.25" collapsed="1">
      <c r="B70" s="7" t="s">
        <v>84</v>
      </c>
      <c r="C70" s="7"/>
      <c r="D70" s="1">
        <f t="shared" ref="D70:O70" si="36">SUM(D67:D69)</f>
        <v>6215.4</v>
      </c>
      <c r="E70" s="1">
        <f t="shared" si="36"/>
        <v>0</v>
      </c>
      <c r="F70" s="1">
        <f t="shared" si="36"/>
        <v>4780.88</v>
      </c>
      <c r="G70" s="1">
        <f t="shared" si="36"/>
        <v>0</v>
      </c>
      <c r="H70" s="1">
        <f t="shared" si="36"/>
        <v>1092.95</v>
      </c>
      <c r="I70" s="1">
        <f t="shared" si="36"/>
        <v>184.16</v>
      </c>
      <c r="J70" s="1">
        <f t="shared" si="36"/>
        <v>0</v>
      </c>
      <c r="K70" s="1">
        <f t="shared" si="36"/>
        <v>635</v>
      </c>
      <c r="L70" s="1">
        <f t="shared" si="36"/>
        <v>0</v>
      </c>
      <c r="M70" s="1">
        <f t="shared" si="36"/>
        <v>0</v>
      </c>
      <c r="N70" s="1">
        <f t="shared" si="36"/>
        <v>0</v>
      </c>
      <c r="O70" s="1">
        <f t="shared" si="36"/>
        <v>9138.94</v>
      </c>
      <c r="P70" s="1"/>
      <c r="Q70" s="70">
        <f t="shared" ref="Q70:Q72" si="37">SUM(D70:O70)</f>
        <v>22047.33</v>
      </c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</row>
    <row r="71" spans="2:28" s="127" customFormat="1" ht="20.25" hidden="1" outlineLevel="1">
      <c r="B71" s="18">
        <v>6940</v>
      </c>
      <c r="C71" s="19" t="s">
        <v>92</v>
      </c>
      <c r="D71" s="3">
        <v>1138.82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70">
        <f t="shared" si="37"/>
        <v>1138.82</v>
      </c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</row>
    <row r="72" spans="2:28" s="127" customFormat="1" ht="20.25" collapsed="1">
      <c r="B72" s="7" t="s">
        <v>123</v>
      </c>
      <c r="C72" s="7"/>
      <c r="D72" s="1">
        <f t="shared" ref="D72:O72" si="38">SUM(D71)</f>
        <v>1138.82</v>
      </c>
      <c r="E72" s="1">
        <f t="shared" si="38"/>
        <v>0</v>
      </c>
      <c r="F72" s="1">
        <f t="shared" si="38"/>
        <v>0</v>
      </c>
      <c r="G72" s="1">
        <f t="shared" si="38"/>
        <v>0</v>
      </c>
      <c r="H72" s="1">
        <f t="shared" si="38"/>
        <v>0</v>
      </c>
      <c r="I72" s="1">
        <f t="shared" si="38"/>
        <v>0</v>
      </c>
      <c r="J72" s="1">
        <f t="shared" si="38"/>
        <v>0</v>
      </c>
      <c r="K72" s="1">
        <f t="shared" si="38"/>
        <v>0</v>
      </c>
      <c r="L72" s="1">
        <f t="shared" si="38"/>
        <v>0</v>
      </c>
      <c r="M72" s="1">
        <f t="shared" si="38"/>
        <v>0</v>
      </c>
      <c r="N72" s="1">
        <f t="shared" si="38"/>
        <v>0</v>
      </c>
      <c r="O72" s="1">
        <f t="shared" si="38"/>
        <v>0</v>
      </c>
      <c r="P72" s="1"/>
      <c r="Q72" s="70">
        <f t="shared" si="37"/>
        <v>1138.82</v>
      </c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</row>
    <row r="73" spans="2:28" s="127" customFormat="1" ht="20.25">
      <c r="B73" s="7" t="s">
        <v>173</v>
      </c>
      <c r="C73" s="7"/>
      <c r="D73" s="1">
        <f t="shared" ref="D73:O73" si="39">SUM(0)</f>
        <v>0</v>
      </c>
      <c r="E73" s="1">
        <f t="shared" si="39"/>
        <v>0</v>
      </c>
      <c r="F73" s="1">
        <f t="shared" si="39"/>
        <v>0</v>
      </c>
      <c r="G73" s="1">
        <f t="shared" si="39"/>
        <v>0</v>
      </c>
      <c r="H73" s="1">
        <f t="shared" si="39"/>
        <v>0</v>
      </c>
      <c r="I73" s="1">
        <f t="shared" si="39"/>
        <v>0</v>
      </c>
      <c r="J73" s="1">
        <f t="shared" si="39"/>
        <v>0</v>
      </c>
      <c r="K73" s="1">
        <f t="shared" si="39"/>
        <v>0</v>
      </c>
      <c r="L73" s="1">
        <f t="shared" si="39"/>
        <v>0</v>
      </c>
      <c r="M73" s="1">
        <f t="shared" si="39"/>
        <v>0</v>
      </c>
      <c r="N73" s="1">
        <f t="shared" si="39"/>
        <v>0</v>
      </c>
      <c r="O73" s="1">
        <f t="shared" si="39"/>
        <v>0</v>
      </c>
      <c r="P73" s="1"/>
      <c r="Q73" s="70">
        <f>SUM(D73:O73)</f>
        <v>0</v>
      </c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</row>
    <row r="74" spans="2:28" s="127" customFormat="1" ht="20.25">
      <c r="B74" s="7" t="s">
        <v>481</v>
      </c>
      <c r="C74" s="7"/>
      <c r="D74" s="1">
        <f t="shared" ref="D74:O74" si="40">SUM(0)</f>
        <v>0</v>
      </c>
      <c r="E74" s="1">
        <f t="shared" si="40"/>
        <v>0</v>
      </c>
      <c r="F74" s="1">
        <f t="shared" si="40"/>
        <v>0</v>
      </c>
      <c r="G74" s="1">
        <f t="shared" si="40"/>
        <v>0</v>
      </c>
      <c r="H74" s="1">
        <f t="shared" si="40"/>
        <v>0</v>
      </c>
      <c r="I74" s="1">
        <f t="shared" si="40"/>
        <v>0</v>
      </c>
      <c r="J74" s="1">
        <f t="shared" si="40"/>
        <v>0</v>
      </c>
      <c r="K74" s="1">
        <f t="shared" si="40"/>
        <v>0</v>
      </c>
      <c r="L74" s="1">
        <f t="shared" si="40"/>
        <v>0</v>
      </c>
      <c r="M74" s="1">
        <f t="shared" si="40"/>
        <v>0</v>
      </c>
      <c r="N74" s="1">
        <f t="shared" si="40"/>
        <v>0</v>
      </c>
      <c r="O74" s="1">
        <f t="shared" si="40"/>
        <v>0</v>
      </c>
      <c r="P74" s="1"/>
      <c r="Q74" s="70">
        <f>SUM(D74:O74)</f>
        <v>0</v>
      </c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</row>
    <row r="75" spans="2:28" s="127" customFormat="1" ht="20.25">
      <c r="B75" s="7" t="s">
        <v>174</v>
      </c>
      <c r="C75" s="7"/>
      <c r="D75" s="1">
        <f t="shared" ref="D75:O75" si="41">SUM(0)</f>
        <v>0</v>
      </c>
      <c r="E75" s="1">
        <f t="shared" si="41"/>
        <v>0</v>
      </c>
      <c r="F75" s="1">
        <f t="shared" si="41"/>
        <v>0</v>
      </c>
      <c r="G75" s="1">
        <f t="shared" si="41"/>
        <v>0</v>
      </c>
      <c r="H75" s="1">
        <f t="shared" si="41"/>
        <v>0</v>
      </c>
      <c r="I75" s="1">
        <f t="shared" si="41"/>
        <v>0</v>
      </c>
      <c r="J75" s="1">
        <f t="shared" si="41"/>
        <v>0</v>
      </c>
      <c r="K75" s="1">
        <f t="shared" si="41"/>
        <v>0</v>
      </c>
      <c r="L75" s="1">
        <f t="shared" si="41"/>
        <v>0</v>
      </c>
      <c r="M75" s="1">
        <f t="shared" si="41"/>
        <v>0</v>
      </c>
      <c r="N75" s="1">
        <f t="shared" si="41"/>
        <v>0</v>
      </c>
      <c r="O75" s="1">
        <f t="shared" si="41"/>
        <v>0</v>
      </c>
      <c r="P75" s="1"/>
      <c r="Q75" s="70">
        <f t="shared" ref="Q75:Q82" si="42">SUM(D75:O75)</f>
        <v>0</v>
      </c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</row>
    <row r="76" spans="2:28" s="127" customFormat="1" ht="20.25" hidden="1" outlineLevel="1">
      <c r="B76" s="18">
        <v>7790</v>
      </c>
      <c r="C76" s="19" t="s">
        <v>454</v>
      </c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>
        <v>1769.75</v>
      </c>
      <c r="P76" s="3"/>
      <c r="Q76" s="70">
        <f t="shared" si="42"/>
        <v>1769.75</v>
      </c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</row>
    <row r="77" spans="2:28" s="127" customFormat="1" ht="20.25" hidden="1" outlineLevel="1">
      <c r="B77" s="18">
        <v>7770</v>
      </c>
      <c r="C77" s="19" t="s">
        <v>214</v>
      </c>
      <c r="D77" s="3">
        <v>318.75</v>
      </c>
      <c r="E77" s="3">
        <v>266.63</v>
      </c>
      <c r="F77" s="3">
        <v>296.75</v>
      </c>
      <c r="G77" s="3">
        <v>550.75</v>
      </c>
      <c r="H77" s="3">
        <v>442.06</v>
      </c>
      <c r="I77" s="3">
        <v>1408.57</v>
      </c>
      <c r="J77" s="3">
        <v>2291.31</v>
      </c>
      <c r="K77" s="3">
        <v>2595.13</v>
      </c>
      <c r="L77" s="3">
        <v>1835.35</v>
      </c>
      <c r="M77" s="3">
        <v>878.44</v>
      </c>
      <c r="N77" s="3">
        <v>335</v>
      </c>
      <c r="O77" s="3">
        <v>356.5</v>
      </c>
      <c r="P77" s="3"/>
      <c r="Q77" s="70">
        <f t="shared" si="42"/>
        <v>11575.24</v>
      </c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</row>
    <row r="78" spans="2:28" s="127" customFormat="1" ht="20.25" hidden="1" outlineLevel="1">
      <c r="B78" s="18">
        <v>7500</v>
      </c>
      <c r="C78" s="19" t="s">
        <v>282</v>
      </c>
      <c r="D78" s="3">
        <v>9165</v>
      </c>
      <c r="E78" s="3"/>
      <c r="F78" s="3"/>
      <c r="G78" s="3"/>
      <c r="H78" s="3">
        <v>21841</v>
      </c>
      <c r="I78" s="3"/>
      <c r="J78" s="3"/>
      <c r="K78" s="3"/>
      <c r="L78" s="3"/>
      <c r="M78" s="3"/>
      <c r="N78" s="3"/>
      <c r="O78" s="3">
        <v>-10730.5</v>
      </c>
      <c r="P78" s="3"/>
      <c r="Q78" s="70">
        <f t="shared" si="42"/>
        <v>20275.5</v>
      </c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</row>
    <row r="79" spans="2:28" s="127" customFormat="1" ht="20.25" hidden="1" outlineLevel="1">
      <c r="B79" s="18">
        <v>7420</v>
      </c>
      <c r="C79" s="19" t="s">
        <v>489</v>
      </c>
      <c r="D79" s="3"/>
      <c r="E79" s="3"/>
      <c r="F79" s="3">
        <v>500</v>
      </c>
      <c r="G79" s="3"/>
      <c r="H79" s="3"/>
      <c r="I79" s="3">
        <v>609.9</v>
      </c>
      <c r="J79" s="3"/>
      <c r="K79" s="3"/>
      <c r="L79" s="3"/>
      <c r="M79" s="3"/>
      <c r="N79" s="3"/>
      <c r="O79" s="3"/>
      <c r="P79" s="3"/>
      <c r="Q79" s="70">
        <f t="shared" si="42"/>
        <v>1109.9000000000001</v>
      </c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</row>
    <row r="80" spans="2:28" s="127" customFormat="1" ht="20.25" hidden="1" outlineLevel="1">
      <c r="B80" s="18">
        <v>7400</v>
      </c>
      <c r="C80" s="19" t="s">
        <v>128</v>
      </c>
      <c r="D80" s="3"/>
      <c r="E80" s="3"/>
      <c r="F80" s="3">
        <v>18120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70">
        <f t="shared" si="42"/>
        <v>18120</v>
      </c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/>
    </row>
    <row r="81" spans="2:28" s="127" customFormat="1" ht="20.25" hidden="1" outlineLevel="1">
      <c r="B81" s="18">
        <v>7740</v>
      </c>
      <c r="C81" s="19" t="s">
        <v>322</v>
      </c>
      <c r="D81" s="3"/>
      <c r="E81" s="3"/>
      <c r="F81" s="3"/>
      <c r="G81" s="3"/>
      <c r="H81" s="3"/>
      <c r="I81" s="3"/>
      <c r="J81" s="3"/>
      <c r="K81" s="3"/>
      <c r="L81" s="3">
        <v>-0.1</v>
      </c>
      <c r="M81" s="3"/>
      <c r="N81" s="3">
        <v>-4.5999999999999996</v>
      </c>
      <c r="O81" s="3">
        <v>0.04</v>
      </c>
      <c r="P81" s="3"/>
      <c r="Q81" s="70">
        <f t="shared" si="42"/>
        <v>-4.6599999999999993</v>
      </c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</row>
    <row r="82" spans="2:28" s="127" customFormat="1" ht="20.25" hidden="1" outlineLevel="1">
      <c r="B82" s="18">
        <v>7415</v>
      </c>
      <c r="C82" s="19" t="s">
        <v>247</v>
      </c>
      <c r="D82" s="3"/>
      <c r="E82" s="3"/>
      <c r="F82" s="3"/>
      <c r="G82" s="3"/>
      <c r="H82" s="3"/>
      <c r="I82" s="3"/>
      <c r="J82" s="3">
        <v>23216</v>
      </c>
      <c r="K82" s="3"/>
      <c r="L82" s="3"/>
      <c r="M82" s="3"/>
      <c r="N82" s="3"/>
      <c r="O82" s="3">
        <v>302</v>
      </c>
      <c r="P82" s="3"/>
      <c r="Q82" s="70">
        <f t="shared" si="42"/>
        <v>23518</v>
      </c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</row>
    <row r="83" spans="2:28" s="127" customFormat="1" ht="20.25" collapsed="1">
      <c r="B83" s="7" t="s">
        <v>85</v>
      </c>
      <c r="C83" s="7"/>
      <c r="D83" s="1">
        <f t="shared" ref="D83:O83" si="43">SUM(D76:D82)</f>
        <v>9483.75</v>
      </c>
      <c r="E83" s="1">
        <f t="shared" si="43"/>
        <v>266.63</v>
      </c>
      <c r="F83" s="1">
        <f t="shared" si="43"/>
        <v>18916.75</v>
      </c>
      <c r="G83" s="1">
        <f t="shared" si="43"/>
        <v>550.75</v>
      </c>
      <c r="H83" s="1">
        <f t="shared" si="43"/>
        <v>22283.06</v>
      </c>
      <c r="I83" s="1">
        <f t="shared" si="43"/>
        <v>2018.4699999999998</v>
      </c>
      <c r="J83" s="1">
        <f t="shared" si="43"/>
        <v>25507.31</v>
      </c>
      <c r="K83" s="1">
        <f t="shared" si="43"/>
        <v>2595.13</v>
      </c>
      <c r="L83" s="1">
        <f t="shared" si="43"/>
        <v>1835.25</v>
      </c>
      <c r="M83" s="1">
        <f t="shared" si="43"/>
        <v>878.44</v>
      </c>
      <c r="N83" s="1">
        <f t="shared" si="43"/>
        <v>330.4</v>
      </c>
      <c r="O83" s="1">
        <f t="shared" si="43"/>
        <v>-8302.2099999999991</v>
      </c>
      <c r="P83" s="1"/>
      <c r="Q83" s="70">
        <f>SUM(D83:O83)</f>
        <v>76363.73000000001</v>
      </c>
      <c r="R83" s="49"/>
      <c r="S83" s="49"/>
      <c r="T83" s="49"/>
      <c r="U83" s="49"/>
      <c r="V83" s="49"/>
      <c r="W83" s="49"/>
      <c r="X83" s="49"/>
      <c r="Y83" s="49"/>
      <c r="Z83" s="49"/>
      <c r="AA83" s="49"/>
      <c r="AB83" s="49"/>
    </row>
    <row r="84" spans="2:28" s="127" customFormat="1" ht="6.6" customHeight="1" thickBot="1">
      <c r="B84" s="65"/>
      <c r="C84" s="61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100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</row>
    <row r="85" spans="2:28" s="127" customFormat="1" ht="21" thickTop="1">
      <c r="B85" s="73" t="s">
        <v>116</v>
      </c>
      <c r="C85" s="78"/>
      <c r="D85" s="1">
        <f t="shared" ref="D85:O85" si="44">D37-D44-D45-D48-D50-D54-D59-D63-D66-D70-D72-D73-D74-D75-D83</f>
        <v>-3015.2300000000032</v>
      </c>
      <c r="E85" s="1">
        <f t="shared" si="44"/>
        <v>-8684.1999999999989</v>
      </c>
      <c r="F85" s="1">
        <f t="shared" si="44"/>
        <v>-31566.11</v>
      </c>
      <c r="G85" s="1">
        <f t="shared" si="44"/>
        <v>24073.260000000002</v>
      </c>
      <c r="H85" s="1">
        <f t="shared" si="44"/>
        <v>127403.73000000001</v>
      </c>
      <c r="I85" s="1">
        <f t="shared" si="44"/>
        <v>-34289.806000000004</v>
      </c>
      <c r="J85" s="1">
        <f t="shared" si="44"/>
        <v>-16444.753999999994</v>
      </c>
      <c r="K85" s="1">
        <f t="shared" si="44"/>
        <v>25639.131999999998</v>
      </c>
      <c r="L85" s="1">
        <f t="shared" si="44"/>
        <v>18351.62200000001</v>
      </c>
      <c r="M85" s="1">
        <f t="shared" si="44"/>
        <v>-50163.981999999989</v>
      </c>
      <c r="N85" s="1">
        <f t="shared" si="44"/>
        <v>-14147.887999999999</v>
      </c>
      <c r="O85" s="1">
        <f t="shared" si="44"/>
        <v>25145.440000000002</v>
      </c>
      <c r="P85" s="1"/>
      <c r="Q85" s="70">
        <f>SUM(D85:O85)</f>
        <v>62301.214000000014</v>
      </c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</row>
    <row r="86" spans="2:28" s="127" customFormat="1" ht="6.6" customHeight="1">
      <c r="B86" s="42"/>
      <c r="C86" s="42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111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</row>
    <row r="87" spans="2:28" s="127" customFormat="1" ht="20.25" hidden="1" outlineLevel="1">
      <c r="B87" s="18">
        <v>6000</v>
      </c>
      <c r="C87" s="19" t="s">
        <v>546</v>
      </c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>
        <v>10500</v>
      </c>
      <c r="P87" s="3"/>
      <c r="Q87" s="70">
        <f t="shared" ref="Q87:Q89" si="45">SUM(D87:O87)</f>
        <v>10500</v>
      </c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</row>
    <row r="88" spans="2:28" s="127" customFormat="1" ht="20.25" hidden="1" outlineLevel="1">
      <c r="B88" s="18">
        <v>6017</v>
      </c>
      <c r="C88" s="19" t="s">
        <v>215</v>
      </c>
      <c r="D88" s="3"/>
      <c r="E88" s="3"/>
      <c r="F88" s="3"/>
      <c r="G88" s="3"/>
      <c r="H88" s="3"/>
      <c r="I88" s="3"/>
      <c r="J88" s="3"/>
      <c r="K88" s="3"/>
      <c r="L88" s="3"/>
      <c r="M88" s="3">
        <v>12491</v>
      </c>
      <c r="N88" s="3"/>
      <c r="O88" s="3">
        <v>-1852</v>
      </c>
      <c r="P88" s="3"/>
      <c r="Q88" s="70">
        <f t="shared" si="45"/>
        <v>10639</v>
      </c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</row>
    <row r="89" spans="2:28" s="127" customFormat="1" ht="20.25" hidden="1" outlineLevel="1">
      <c r="B89" s="18">
        <v>6015</v>
      </c>
      <c r="C89" s="19" t="s">
        <v>66</v>
      </c>
      <c r="D89" s="3"/>
      <c r="E89" s="3"/>
      <c r="F89" s="3"/>
      <c r="G89" s="3"/>
      <c r="H89" s="3"/>
      <c r="I89" s="3"/>
      <c r="J89" s="3"/>
      <c r="K89" s="3"/>
      <c r="L89" s="3"/>
      <c r="M89" s="3">
        <v>51256</v>
      </c>
      <c r="N89" s="3"/>
      <c r="O89" s="3"/>
      <c r="P89" s="3"/>
      <c r="Q89" s="70">
        <f t="shared" si="45"/>
        <v>51256</v>
      </c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</row>
    <row r="90" spans="2:28" s="127" customFormat="1" ht="17.45" customHeight="1" collapsed="1">
      <c r="B90" s="7" t="s">
        <v>199</v>
      </c>
      <c r="C90" s="7"/>
      <c r="D90" s="1">
        <f t="shared" ref="D90:O90" si="46">SUM(D87:D89)</f>
        <v>0</v>
      </c>
      <c r="E90" s="1">
        <f t="shared" si="46"/>
        <v>0</v>
      </c>
      <c r="F90" s="1">
        <f t="shared" si="46"/>
        <v>0</v>
      </c>
      <c r="G90" s="1">
        <f t="shared" si="46"/>
        <v>0</v>
      </c>
      <c r="H90" s="1">
        <f t="shared" si="46"/>
        <v>0</v>
      </c>
      <c r="I90" s="1">
        <f t="shared" si="46"/>
        <v>0</v>
      </c>
      <c r="J90" s="1">
        <f t="shared" si="46"/>
        <v>0</v>
      </c>
      <c r="K90" s="1">
        <f t="shared" si="46"/>
        <v>0</v>
      </c>
      <c r="L90" s="1">
        <f t="shared" si="46"/>
        <v>0</v>
      </c>
      <c r="M90" s="1">
        <f t="shared" si="46"/>
        <v>63747</v>
      </c>
      <c r="N90" s="1">
        <f t="shared" si="46"/>
        <v>0</v>
      </c>
      <c r="O90" s="1">
        <f t="shared" si="46"/>
        <v>8648</v>
      </c>
      <c r="P90" s="1"/>
      <c r="Q90" s="70">
        <f>SUM(D90:O90)</f>
        <v>72395</v>
      </c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</row>
    <row r="91" spans="2:28" s="127" customFormat="1" ht="6.6" customHeight="1" thickBot="1">
      <c r="B91" s="65"/>
      <c r="C91" s="61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100"/>
      <c r="R91" s="49"/>
      <c r="S91" s="49"/>
      <c r="T91" s="49"/>
      <c r="U91" s="49"/>
      <c r="V91" s="49"/>
      <c r="W91" s="49"/>
      <c r="X91" s="49"/>
      <c r="Y91" s="49"/>
      <c r="Z91" s="49"/>
      <c r="AA91" s="49"/>
      <c r="AB91" s="49"/>
    </row>
    <row r="92" spans="2:28" s="127" customFormat="1" ht="21" thickTop="1">
      <c r="B92" s="73" t="s">
        <v>474</v>
      </c>
      <c r="C92" s="78"/>
      <c r="D92" s="1">
        <f t="shared" ref="D92:O92" si="47">D85-D90</f>
        <v>-3015.2300000000032</v>
      </c>
      <c r="E92" s="1">
        <f t="shared" si="47"/>
        <v>-8684.1999999999989</v>
      </c>
      <c r="F92" s="1">
        <f t="shared" si="47"/>
        <v>-31566.11</v>
      </c>
      <c r="G92" s="1">
        <f t="shared" si="47"/>
        <v>24073.260000000002</v>
      </c>
      <c r="H92" s="1">
        <f t="shared" si="47"/>
        <v>127403.73000000001</v>
      </c>
      <c r="I92" s="1">
        <f t="shared" si="47"/>
        <v>-34289.806000000004</v>
      </c>
      <c r="J92" s="1">
        <f t="shared" si="47"/>
        <v>-16444.753999999994</v>
      </c>
      <c r="K92" s="1">
        <f t="shared" si="47"/>
        <v>25639.131999999998</v>
      </c>
      <c r="L92" s="1">
        <f t="shared" si="47"/>
        <v>18351.62200000001</v>
      </c>
      <c r="M92" s="1">
        <f t="shared" si="47"/>
        <v>-113910.98199999999</v>
      </c>
      <c r="N92" s="1">
        <f t="shared" si="47"/>
        <v>-14147.887999999999</v>
      </c>
      <c r="O92" s="1">
        <f t="shared" si="47"/>
        <v>16497.440000000002</v>
      </c>
      <c r="P92" s="1"/>
      <c r="Q92" s="70">
        <f>SUM(D92:O92)</f>
        <v>-10093.785999999986</v>
      </c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/>
    </row>
    <row r="93" spans="2:28" s="127" customFormat="1" ht="6.6" customHeight="1">
      <c r="B93" s="42"/>
      <c r="C93" s="42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111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</row>
    <row r="94" spans="2:28" s="127" customFormat="1" ht="20.25" hidden="1" outlineLevel="1">
      <c r="B94" s="18">
        <v>8051</v>
      </c>
      <c r="C94" s="19" t="s">
        <v>248</v>
      </c>
      <c r="D94" s="3"/>
      <c r="E94" s="3"/>
      <c r="F94" s="3"/>
      <c r="G94" s="3"/>
      <c r="H94" s="3"/>
      <c r="I94" s="3"/>
      <c r="J94" s="3"/>
      <c r="K94" s="3"/>
      <c r="L94" s="3">
        <v>-1.06</v>
      </c>
      <c r="M94" s="3"/>
      <c r="N94" s="3"/>
      <c r="O94" s="3">
        <v>-777.65</v>
      </c>
      <c r="P94" s="3"/>
      <c r="Q94" s="70">
        <f t="shared" ref="Q94:Q96" si="48">SUM(D94:O94)</f>
        <v>-778.70999999999992</v>
      </c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</row>
    <row r="95" spans="2:28" s="127" customFormat="1" ht="20.25" hidden="1" outlineLevel="1">
      <c r="B95" s="18">
        <v>8155</v>
      </c>
      <c r="C95" s="19" t="s">
        <v>412</v>
      </c>
      <c r="D95" s="3"/>
      <c r="E95" s="3"/>
      <c r="F95" s="3">
        <v>675.4</v>
      </c>
      <c r="G95" s="3">
        <v>405.12</v>
      </c>
      <c r="H95" s="3"/>
      <c r="I95" s="3"/>
      <c r="J95" s="3">
        <v>74.94</v>
      </c>
      <c r="K95" s="3">
        <v>-710.1</v>
      </c>
      <c r="L95" s="3"/>
      <c r="M95" s="3"/>
      <c r="N95" s="3"/>
      <c r="O95" s="3"/>
      <c r="P95" s="3"/>
      <c r="Q95" s="70">
        <f t="shared" si="48"/>
        <v>445.36</v>
      </c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</row>
    <row r="96" spans="2:28" s="127" customFormat="1" ht="17.45" customHeight="1" collapsed="1">
      <c r="B96" s="7" t="s">
        <v>81</v>
      </c>
      <c r="C96" s="7"/>
      <c r="D96" s="1">
        <f t="shared" ref="D96:O96" si="49">SUM(D94)+SUM(D95)</f>
        <v>0</v>
      </c>
      <c r="E96" s="1">
        <f t="shared" si="49"/>
        <v>0</v>
      </c>
      <c r="F96" s="1">
        <f t="shared" si="49"/>
        <v>675.4</v>
      </c>
      <c r="G96" s="1">
        <f t="shared" si="49"/>
        <v>405.12</v>
      </c>
      <c r="H96" s="1">
        <f t="shared" si="49"/>
        <v>0</v>
      </c>
      <c r="I96" s="1">
        <f t="shared" si="49"/>
        <v>0</v>
      </c>
      <c r="J96" s="1">
        <f t="shared" si="49"/>
        <v>74.94</v>
      </c>
      <c r="K96" s="1">
        <f t="shared" si="49"/>
        <v>-710.1</v>
      </c>
      <c r="L96" s="1">
        <f t="shared" si="49"/>
        <v>-1.06</v>
      </c>
      <c r="M96" s="1">
        <f t="shared" si="49"/>
        <v>0</v>
      </c>
      <c r="N96" s="1">
        <f t="shared" si="49"/>
        <v>0</v>
      </c>
      <c r="O96" s="1">
        <f t="shared" si="49"/>
        <v>-777.65</v>
      </c>
      <c r="P96" s="1"/>
      <c r="Q96" s="70">
        <f t="shared" si="48"/>
        <v>-333.34999999999997</v>
      </c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</row>
    <row r="97" spans="2:29" s="127" customFormat="1" ht="6.6" customHeight="1" thickBot="1">
      <c r="B97" s="65"/>
      <c r="C97" s="61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100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/>
    </row>
    <row r="98" spans="2:29" s="127" customFormat="1" ht="21.75" thickTop="1" thickBot="1">
      <c r="B98" s="130" t="s">
        <v>117</v>
      </c>
      <c r="C98" s="155"/>
      <c r="D98" s="52">
        <f t="shared" ref="D98:O98" si="50">D92-D96</f>
        <v>-3015.2300000000032</v>
      </c>
      <c r="E98" s="52">
        <f t="shared" si="50"/>
        <v>-8684.1999999999989</v>
      </c>
      <c r="F98" s="52">
        <f t="shared" si="50"/>
        <v>-32241.510000000002</v>
      </c>
      <c r="G98" s="52">
        <f t="shared" si="50"/>
        <v>23668.140000000003</v>
      </c>
      <c r="H98" s="52">
        <f t="shared" si="50"/>
        <v>127403.73000000001</v>
      </c>
      <c r="I98" s="52">
        <f t="shared" si="50"/>
        <v>-34289.806000000004</v>
      </c>
      <c r="J98" s="52">
        <f t="shared" si="50"/>
        <v>-16519.693999999992</v>
      </c>
      <c r="K98" s="52">
        <f t="shared" si="50"/>
        <v>26349.231999999996</v>
      </c>
      <c r="L98" s="52">
        <f t="shared" si="50"/>
        <v>18352.682000000012</v>
      </c>
      <c r="M98" s="52">
        <f t="shared" si="50"/>
        <v>-113910.98199999999</v>
      </c>
      <c r="N98" s="52">
        <f t="shared" si="50"/>
        <v>-14147.887999999999</v>
      </c>
      <c r="O98" s="52">
        <f t="shared" si="50"/>
        <v>17275.090000000004</v>
      </c>
      <c r="P98" s="52"/>
      <c r="Q98" s="176">
        <f>SUM(D98:O98)</f>
        <v>-9760.4359999999579</v>
      </c>
      <c r="R98" s="49"/>
      <c r="S98" s="49"/>
      <c r="T98" s="49"/>
      <c r="U98" s="49"/>
      <c r="V98" s="49"/>
      <c r="W98" s="49"/>
      <c r="X98" s="49"/>
      <c r="Y98" s="49"/>
      <c r="Z98" s="49"/>
      <c r="AA98" s="49"/>
      <c r="AB98" s="49"/>
    </row>
    <row r="99" spans="2:29" s="45" customFormat="1" ht="6.6" customHeight="1" thickTop="1">
      <c r="B99" s="132"/>
      <c r="C99" s="132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174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</row>
    <row r="100" spans="2:29" s="110" customFormat="1" ht="6.6" customHeight="1">
      <c r="B100" s="76"/>
      <c r="C100" s="76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U100" s="30"/>
      <c r="V100" s="30"/>
      <c r="W100" s="30"/>
      <c r="X100" s="30"/>
      <c r="Y100" s="30"/>
      <c r="Z100" s="30"/>
      <c r="AA100" s="30"/>
      <c r="AB100" s="30"/>
      <c r="AC100" s="30"/>
    </row>
    <row r="101" spans="2:29" s="40" customFormat="1" ht="15.6" customHeight="1">
      <c r="B101" s="144" t="s">
        <v>477</v>
      </c>
      <c r="C101" s="59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U101" s="10"/>
      <c r="V101" s="10"/>
      <c r="W101" s="10"/>
      <c r="X101" s="10"/>
      <c r="Y101" s="10"/>
      <c r="Z101" s="10"/>
      <c r="AA101" s="10"/>
      <c r="AB101" s="10"/>
      <c r="AC101" s="10"/>
    </row>
    <row r="102" spans="2:29" s="40" customFormat="1" ht="6.6" customHeight="1">
      <c r="B102" s="8"/>
      <c r="C102" s="8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92"/>
    </row>
    <row r="103" spans="2:29" s="140" customFormat="1" ht="21.6" customHeight="1">
      <c r="B103" s="119" t="s">
        <v>161</v>
      </c>
      <c r="C103" s="47"/>
      <c r="D103" s="41">
        <f t="shared" ref="D103:O103" si="51">IFERROR(D37/D28,0)</f>
        <v>0.87908016499384389</v>
      </c>
      <c r="E103" s="41">
        <f t="shared" si="51"/>
        <v>1</v>
      </c>
      <c r="F103" s="41">
        <f t="shared" si="51"/>
        <v>1</v>
      </c>
      <c r="G103" s="41">
        <f t="shared" si="51"/>
        <v>1</v>
      </c>
      <c r="H103" s="41">
        <f t="shared" si="51"/>
        <v>0.97814450986672929</v>
      </c>
      <c r="I103" s="41">
        <f t="shared" si="51"/>
        <v>0.49340816823173578</v>
      </c>
      <c r="J103" s="41">
        <f t="shared" si="51"/>
        <v>0.26819886049757624</v>
      </c>
      <c r="K103" s="41">
        <f t="shared" si="51"/>
        <v>0.88190187220229299</v>
      </c>
      <c r="L103" s="41">
        <f t="shared" si="51"/>
        <v>0.57529658843168108</v>
      </c>
      <c r="M103" s="41">
        <f t="shared" si="51"/>
        <v>0.39603837271273767</v>
      </c>
      <c r="N103" s="41">
        <f t="shared" si="51"/>
        <v>1</v>
      </c>
      <c r="O103" s="41">
        <f t="shared" si="51"/>
        <v>1</v>
      </c>
      <c r="P103" s="41"/>
      <c r="Q103" s="41">
        <f>IFERROR(Q37/Q28,0)</f>
        <v>0.71040665189413066</v>
      </c>
      <c r="R103" s="121"/>
      <c r="S103" s="121"/>
      <c r="U103" s="5"/>
      <c r="V103" s="5"/>
      <c r="W103" s="5"/>
      <c r="X103" s="5"/>
      <c r="Y103" s="5"/>
      <c r="Z103" s="5"/>
      <c r="AA103" s="5"/>
      <c r="AB103" s="5"/>
      <c r="AC103" s="5"/>
    </row>
    <row r="104" spans="2:29" s="140" customFormat="1" ht="21.6" customHeight="1">
      <c r="B104" s="119" t="s">
        <v>437</v>
      </c>
      <c r="C104" s="47"/>
      <c r="D104" s="41">
        <f t="shared" ref="D104:O104" si="52">IFERROR(D85/D28,0)</f>
        <v>-6.8431140034837148E-2</v>
      </c>
      <c r="E104" s="41">
        <f t="shared" si="52"/>
        <v>-0.7118196721311475</v>
      </c>
      <c r="F104" s="41">
        <f t="shared" si="52"/>
        <v>-7.699051219512195</v>
      </c>
      <c r="G104" s="41">
        <f t="shared" si="52"/>
        <v>0.4647347490347491</v>
      </c>
      <c r="H104" s="41">
        <f t="shared" si="52"/>
        <v>0.72512264686377137</v>
      </c>
      <c r="I104" s="41">
        <f t="shared" si="52"/>
        <v>-0.33113482642604136</v>
      </c>
      <c r="J104" s="41">
        <f t="shared" si="52"/>
        <v>-0.21501821046472469</v>
      </c>
      <c r="K104" s="41">
        <f t="shared" si="52"/>
        <v>0.33132000082703578</v>
      </c>
      <c r="L104" s="41">
        <f t="shared" si="52"/>
        <v>0.26677835963109064</v>
      </c>
      <c r="M104" s="41">
        <f t="shared" si="52"/>
        <v>-0.52237421059131672</v>
      </c>
      <c r="N104" s="41">
        <f t="shared" si="52"/>
        <v>-14.147887999999998</v>
      </c>
      <c r="O104" s="41">
        <f t="shared" si="52"/>
        <v>0.90811857159366705</v>
      </c>
      <c r="P104" s="41"/>
      <c r="Q104" s="41">
        <f>IFERROR(Q85/Q28,0)</f>
        <v>8.4328733419152077E-2</v>
      </c>
      <c r="R104" s="121"/>
      <c r="S104" s="121"/>
      <c r="U104" s="5"/>
      <c r="V104" s="5"/>
      <c r="W104" s="5"/>
      <c r="X104" s="5"/>
      <c r="Y104" s="5"/>
      <c r="Z104" s="5"/>
      <c r="AA104" s="5"/>
      <c r="AB104" s="5"/>
      <c r="AC104" s="5"/>
    </row>
    <row r="105" spans="2:29" s="140" customFormat="1" ht="21.6" customHeight="1">
      <c r="B105" s="119" t="s">
        <v>162</v>
      </c>
      <c r="C105" s="47"/>
      <c r="D105" s="41">
        <f t="shared" ref="D105:O105" si="53">IFERROR(D92/D28,0)</f>
        <v>-6.8431140034837148E-2</v>
      </c>
      <c r="E105" s="41">
        <f t="shared" si="53"/>
        <v>-0.7118196721311475</v>
      </c>
      <c r="F105" s="41">
        <f t="shared" si="53"/>
        <v>-7.699051219512195</v>
      </c>
      <c r="G105" s="41">
        <f t="shared" si="53"/>
        <v>0.4647347490347491</v>
      </c>
      <c r="H105" s="41">
        <f t="shared" si="53"/>
        <v>0.72512264686377137</v>
      </c>
      <c r="I105" s="41">
        <f t="shared" si="53"/>
        <v>-0.33113482642604136</v>
      </c>
      <c r="J105" s="41">
        <f t="shared" si="53"/>
        <v>-0.21501821046472469</v>
      </c>
      <c r="K105" s="41">
        <f t="shared" si="53"/>
        <v>0.33132000082703578</v>
      </c>
      <c r="L105" s="41">
        <f t="shared" si="53"/>
        <v>0.26677835963109064</v>
      </c>
      <c r="M105" s="41">
        <f t="shared" si="53"/>
        <v>-1.1861929003150449</v>
      </c>
      <c r="N105" s="41">
        <f t="shared" si="53"/>
        <v>-14.147887999999998</v>
      </c>
      <c r="O105" s="41">
        <f t="shared" si="53"/>
        <v>0.59579914480526996</v>
      </c>
      <c r="P105" s="41"/>
      <c r="Q105" s="41">
        <f>IFERROR(Q92/Q28,0)</f>
        <v>-1.3662593938923372E-2</v>
      </c>
      <c r="R105" s="121"/>
      <c r="S105" s="121"/>
      <c r="U105" s="5"/>
      <c r="V105" s="5"/>
      <c r="W105" s="5"/>
      <c r="X105" s="5"/>
      <c r="Y105" s="5"/>
      <c r="Z105" s="5"/>
      <c r="AA105" s="5"/>
      <c r="AB105" s="5"/>
      <c r="AC105" s="5"/>
    </row>
    <row r="106" spans="2:29" s="140" customFormat="1" ht="21.6" customHeight="1">
      <c r="B106" s="119" t="s">
        <v>372</v>
      </c>
      <c r="C106" s="47"/>
      <c r="D106" s="41">
        <f t="shared" ref="D106:O106" si="54">IFERROR(D98/D28,0)</f>
        <v>-6.8431140034837148E-2</v>
      </c>
      <c r="E106" s="41">
        <f t="shared" si="54"/>
        <v>-0.7118196721311475</v>
      </c>
      <c r="F106" s="41">
        <f t="shared" si="54"/>
        <v>-7.8637829268292689</v>
      </c>
      <c r="G106" s="41">
        <f t="shared" si="54"/>
        <v>0.45691389961389967</v>
      </c>
      <c r="H106" s="41">
        <f t="shared" si="54"/>
        <v>0.72512264686377137</v>
      </c>
      <c r="I106" s="41">
        <f t="shared" si="54"/>
        <v>-0.33113482642604136</v>
      </c>
      <c r="J106" s="41">
        <f t="shared" si="54"/>
        <v>-0.21599806487253317</v>
      </c>
      <c r="K106" s="41">
        <f t="shared" si="54"/>
        <v>0.34049622148018727</v>
      </c>
      <c r="L106" s="41">
        <f t="shared" si="54"/>
        <v>0.26679376889906758</v>
      </c>
      <c r="M106" s="41">
        <f t="shared" si="54"/>
        <v>-1.1861929003150449</v>
      </c>
      <c r="N106" s="41">
        <f t="shared" si="54"/>
        <v>-14.147887999999998</v>
      </c>
      <c r="O106" s="41">
        <f t="shared" si="54"/>
        <v>0.62388369640587094</v>
      </c>
      <c r="P106" s="41"/>
      <c r="Q106" s="41">
        <f>IFERROR(Q98/Q28,0)</f>
        <v>-1.3211383095980942E-2</v>
      </c>
      <c r="R106" s="121"/>
      <c r="S106" s="121"/>
      <c r="U106" s="5"/>
      <c r="V106" s="5"/>
      <c r="W106" s="5"/>
      <c r="X106" s="5"/>
      <c r="Y106" s="5"/>
      <c r="Z106" s="5"/>
      <c r="AA106" s="5"/>
      <c r="AB106" s="5"/>
      <c r="AC106" s="5"/>
    </row>
    <row r="107" spans="2:29" s="140" customFormat="1" ht="21.6" customHeight="1">
      <c r="B107" s="119" t="s">
        <v>479</v>
      </c>
      <c r="C107" s="47"/>
      <c r="D107" s="41">
        <f t="shared" ref="D107:O107" si="55">IFERROR(D44/D28,0)</f>
        <v>0.24396348348075733</v>
      </c>
      <c r="E107" s="41">
        <f t="shared" si="55"/>
        <v>0.73012950819672129</v>
      </c>
      <c r="F107" s="41">
        <f t="shared" si="55"/>
        <v>2.1725804878048782</v>
      </c>
      <c r="G107" s="41">
        <f t="shared" si="55"/>
        <v>0</v>
      </c>
      <c r="H107" s="41">
        <f t="shared" si="55"/>
        <v>7.2456527495003406E-2</v>
      </c>
      <c r="I107" s="41">
        <f t="shared" si="55"/>
        <v>8.6020024644527793E-2</v>
      </c>
      <c r="J107" s="41">
        <f t="shared" si="55"/>
        <v>0</v>
      </c>
      <c r="K107" s="41">
        <f t="shared" si="55"/>
        <v>0.3118472878394723</v>
      </c>
      <c r="L107" s="41">
        <f t="shared" si="55"/>
        <v>0.13348729033401333</v>
      </c>
      <c r="M107" s="41">
        <f t="shared" si="55"/>
        <v>-5.9772527005415134E-3</v>
      </c>
      <c r="N107" s="41">
        <f t="shared" si="55"/>
        <v>0</v>
      </c>
      <c r="O107" s="41">
        <f t="shared" si="55"/>
        <v>-6.903313879579337E-2</v>
      </c>
      <c r="P107" s="41"/>
      <c r="Q107" s="41">
        <f>IFERROR(Q44/Q28,0)</f>
        <v>0.10968233768554514</v>
      </c>
      <c r="R107" s="121"/>
      <c r="S107" s="121"/>
      <c r="U107" s="5"/>
      <c r="V107" s="5"/>
      <c r="W107" s="5"/>
      <c r="X107" s="5"/>
      <c r="Y107" s="5"/>
      <c r="Z107" s="5"/>
      <c r="AA107" s="5"/>
      <c r="AB107" s="5"/>
      <c r="AC107" s="5"/>
    </row>
    <row r="108" spans="2:29" s="40" customFormat="1" ht="6.6" customHeight="1">
      <c r="B108" s="114"/>
      <c r="C108" s="117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31"/>
      <c r="S108" s="131"/>
      <c r="U108" s="10"/>
      <c r="V108" s="10"/>
      <c r="W108" s="10"/>
      <c r="X108" s="10"/>
      <c r="Y108" s="10"/>
      <c r="Z108" s="10"/>
      <c r="AA108" s="10"/>
      <c r="AB108" s="10"/>
      <c r="AC108" s="10"/>
    </row>
    <row r="109" spans="2:29" s="40" customFormat="1" ht="13.15" customHeight="1">
      <c r="B109" s="114"/>
      <c r="C109" s="117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28"/>
      <c r="R109" s="131"/>
      <c r="S109" s="131"/>
      <c r="U109" s="10"/>
      <c r="V109" s="10"/>
      <c r="W109" s="10"/>
      <c r="X109" s="10"/>
      <c r="Y109" s="10"/>
      <c r="Z109" s="10"/>
      <c r="AA109" s="10"/>
      <c r="AB109" s="10"/>
      <c r="AC109" s="10"/>
    </row>
  </sheetData>
  <mergeCells count="4">
    <mergeCell ref="D5:S5"/>
    <mergeCell ref="B6:C6"/>
    <mergeCell ref="D6:S6"/>
    <mergeCell ref="D10:P10"/>
  </mergeCells>
  <hyperlinks>
    <hyperlink ref="B1" location="Forside!A1" display="Forside"/>
  </hyperlinks>
  <pageMargins left="0.7" right="0.7" top="0.75" bottom="0.75" header="0.3" footer="0.3"/>
  <pageSetup fitToHeight="0" orientation="landscape"/>
  <headerFooter>
    <oddFooter>&amp;CSide &amp;P av &amp;N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73"/>
  <sheetViews>
    <sheetView showGridLines="0" zoomScale="70" workbookViewId="0">
      <pane ySplit="15" topLeftCell="A40" activePane="bottomLeft" state="frozen"/>
      <selection activeCell="C29" sqref="C29"/>
      <selection pane="bottomLeft"/>
    </sheetView>
  </sheetViews>
  <sheetFormatPr baseColWidth="10" defaultColWidth="9.140625" defaultRowHeight="12.75" outlineLevelRow="1"/>
  <cols>
    <col min="1" max="1" width="3.28515625" style="79" customWidth="1"/>
    <col min="2" max="2" width="9.7109375" style="79" customWidth="1"/>
    <col min="3" max="3" width="43.7109375" style="79" customWidth="1"/>
    <col min="4" max="4" width="17.7109375" style="79" customWidth="1"/>
    <col min="5" max="5" width="2.85546875" style="79" hidden="1" customWidth="1"/>
    <col min="6" max="6" width="30.5703125" style="79" customWidth="1"/>
    <col min="7" max="7" width="4.5703125" style="79" customWidth="1"/>
    <col min="8" max="8" width="3.85546875" style="79" customWidth="1"/>
    <col min="9" max="16384" width="9.140625" style="79"/>
  </cols>
  <sheetData>
    <row r="1" spans="2:17" s="40" customFormat="1" ht="15.6" customHeight="1">
      <c r="B1" s="59" t="s">
        <v>513</v>
      </c>
    </row>
    <row r="2" spans="2:17" s="40" customFormat="1" ht="21" customHeight="1">
      <c r="B2" s="82" t="e">
        <f ca="1">_xll.OneStop.ReportPlayer.OSRFunctions.OSRGet("ThisCompany","CompanyName")</f>
        <v>#NAME?</v>
      </c>
      <c r="D2" s="8"/>
      <c r="F2" s="8"/>
      <c r="G2" s="8"/>
    </row>
    <row r="3" spans="2:17" s="40" customFormat="1" ht="30.6" customHeight="1">
      <c r="B3" s="85" t="s">
        <v>231</v>
      </c>
      <c r="D3" s="8"/>
      <c r="E3" s="8"/>
      <c r="F3" s="8"/>
      <c r="G3" s="8"/>
      <c r="I3" s="8"/>
      <c r="J3" s="8"/>
      <c r="L3" s="8"/>
      <c r="N3" s="8"/>
      <c r="O3" s="8"/>
    </row>
    <row r="4" spans="2:17" s="40" customFormat="1" ht="21" customHeight="1"/>
    <row r="5" spans="2:17" s="40" customFormat="1" ht="15">
      <c r="B5" s="75" t="s">
        <v>201</v>
      </c>
      <c r="C5" s="109"/>
      <c r="D5" s="189" t="s">
        <v>121</v>
      </c>
      <c r="E5" s="195"/>
      <c r="F5" s="195"/>
      <c r="G5" s="195"/>
      <c r="H5" s="195"/>
    </row>
    <row r="6" spans="2:17" s="40" customFormat="1" ht="30" customHeight="1">
      <c r="B6" s="196">
        <f ca="1">F67</f>
        <v>0</v>
      </c>
      <c r="C6" s="197"/>
      <c r="D6" s="198">
        <f ca="1">F70</f>
        <v>0</v>
      </c>
      <c r="E6" s="198"/>
      <c r="F6" s="198"/>
      <c r="G6" s="198"/>
      <c r="H6" s="198"/>
      <c r="I6" s="77"/>
      <c r="J6" s="77"/>
      <c r="L6" s="77"/>
    </row>
    <row r="7" spans="2:17" s="40" customFormat="1" ht="13.9" customHeight="1"/>
    <row r="8" spans="2:17" s="40" customFormat="1" ht="15.6" customHeight="1">
      <c r="B8" s="83" t="s">
        <v>268</v>
      </c>
      <c r="C8" s="116" t="e">
        <f ca="1">_xll.OneStop.ReportPlayer.OSRFunctions.OSRGet("Period","PeriodId")</f>
        <v>#NAME?</v>
      </c>
      <c r="H8" s="33"/>
      <c r="K8" s="33"/>
      <c r="M8" s="33"/>
      <c r="P8" s="33"/>
    </row>
    <row r="9" spans="2:17" s="45" customFormat="1" ht="6.6" customHeight="1">
      <c r="B9" s="81"/>
      <c r="C9" s="37"/>
      <c r="D9" s="37"/>
      <c r="E9" s="34"/>
      <c r="F9" s="34"/>
      <c r="G9" s="166"/>
      <c r="H9" s="142"/>
      <c r="I9" s="142"/>
    </row>
    <row r="10" spans="2:17" s="126" customFormat="1" ht="18">
      <c r="B10" s="103"/>
      <c r="C10" s="103"/>
      <c r="D10" s="194" t="s">
        <v>233</v>
      </c>
      <c r="E10" s="194"/>
      <c r="F10" s="25" t="s">
        <v>312</v>
      </c>
      <c r="G10" s="136"/>
      <c r="H10" s="136"/>
      <c r="I10" s="118"/>
    </row>
    <row r="11" spans="2:17" s="126" customFormat="1" ht="18">
      <c r="B11" s="154"/>
      <c r="C11" s="103"/>
      <c r="D11" s="60" t="e">
        <f ca="1">_xll.OneStop.ReportPlayer.OSRFunctions.OSRGet("Period","PeriodId")</f>
        <v>#NAME?</v>
      </c>
      <c r="E11" s="25"/>
      <c r="F11" s="25" t="s">
        <v>510</v>
      </c>
      <c r="G11" s="136"/>
      <c r="H11" s="136"/>
      <c r="I11" s="118"/>
    </row>
    <row r="12" spans="2:17" s="45" customFormat="1" ht="6.6" customHeight="1">
      <c r="B12" s="11"/>
      <c r="C12" s="11"/>
      <c r="D12" s="11"/>
      <c r="E12" s="11"/>
      <c r="F12" s="11"/>
    </row>
    <row r="13" spans="2:17" s="45" customFormat="1" ht="2.4500000000000002" customHeight="1">
      <c r="B13" s="54"/>
      <c r="C13" s="54"/>
      <c r="D13" s="21"/>
      <c r="E13" s="21"/>
      <c r="F13" s="21"/>
      <c r="G13" s="17"/>
      <c r="H13" s="17"/>
      <c r="I13" s="17"/>
    </row>
    <row r="14" spans="2:17" s="45" customFormat="1" ht="6.6" customHeight="1">
      <c r="B14" s="56"/>
      <c r="C14" s="56"/>
      <c r="D14" s="17"/>
      <c r="E14" s="17"/>
      <c r="F14" s="17"/>
      <c r="G14" s="17"/>
      <c r="H14" s="17"/>
      <c r="I14" s="17"/>
    </row>
    <row r="15" spans="2:17" s="45" customFormat="1" ht="15" hidden="1" outlineLevel="1">
      <c r="B15" s="158" t="e">
        <f ca="1">_xll.OneStop.ReportPlayer.OSRFunctions.OSRGet("Journal_Account","AccountNo")</f>
        <v>#NAME?</v>
      </c>
      <c r="C15" s="147" t="e">
        <f ca="1">_xll.OneStop.ReportPlayer.OSRFunctions.OSRGet("Journal_Account","AccountName")</f>
        <v>#NAME?</v>
      </c>
      <c r="D15" s="46" t="e">
        <f ca="1">_xll.OneStop.ReportPlayer.OSRFunctions.OSRGet("Journal_SubEntry","AmtCur")*-1</f>
        <v>#NAME?</v>
      </c>
      <c r="E15" s="46"/>
      <c r="F15" s="168" t="e">
        <f ca="1">SUM(_xll.OneStop.ReportPlayer.OSRFunctions.OSRRef(D15))</f>
        <v>#NAME?</v>
      </c>
      <c r="G15" s="46"/>
      <c r="H15" s="138"/>
      <c r="I15" s="138"/>
      <c r="J15" s="31"/>
      <c r="K15" s="31"/>
      <c r="L15" s="31"/>
      <c r="M15" s="31"/>
      <c r="N15" s="31"/>
      <c r="O15" s="31"/>
      <c r="P15" s="31"/>
      <c r="Q15" s="31"/>
    </row>
    <row r="16" spans="2:17" s="127" customFormat="1" ht="20.25" collapsed="1">
      <c r="B16" s="7" t="s">
        <v>198</v>
      </c>
      <c r="C16" s="7"/>
      <c r="D16" s="1" t="e">
        <f ca="1">SUM(_xll.OneStop.ReportPlayer.OSRFunctions.OSRRef(D15))</f>
        <v>#NAME?</v>
      </c>
      <c r="E16" s="1"/>
      <c r="F16" s="70" t="e">
        <f ca="1">SUM(_xll.OneStop.ReportPlayer.OSRFunctions.OSRRef(D16))</f>
        <v>#NAME?</v>
      </c>
      <c r="G16" s="1"/>
      <c r="H16" s="1"/>
      <c r="I16" s="1"/>
      <c r="J16" s="49"/>
      <c r="K16" s="49"/>
      <c r="L16" s="49"/>
      <c r="M16" s="49"/>
      <c r="N16" s="49"/>
      <c r="O16" s="49"/>
      <c r="P16" s="49"/>
      <c r="Q16" s="49"/>
    </row>
    <row r="17" spans="2:17" s="127" customFormat="1" ht="20.25" hidden="1" outlineLevel="1">
      <c r="B17" s="18" t="e">
        <f ca="1">_xll.OneStop.ReportPlayer.OSRFunctions.OSRGet("Journal_Account","AccountNo")</f>
        <v>#NAME?</v>
      </c>
      <c r="C17" s="19" t="e">
        <f ca="1">_xll.OneStop.ReportPlayer.OSRFunctions.OSRGet("Journal_Account","AccountName")</f>
        <v>#NAME?</v>
      </c>
      <c r="D17" s="3" t="e">
        <f ca="1">_xll.OneStop.ReportPlayer.OSRFunctions.OSRGet("Journal_SubEntry","AmtCur")</f>
        <v>#NAME?</v>
      </c>
      <c r="E17" s="3"/>
      <c r="F17" s="70" t="e">
        <f ca="1">SUM(_xll.OneStop.ReportPlayer.OSRFunctions.OSRRef(D17))</f>
        <v>#NAME?</v>
      </c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</row>
    <row r="18" spans="2:17" s="127" customFormat="1" ht="20.25" collapsed="1">
      <c r="B18" s="7" t="s">
        <v>505</v>
      </c>
      <c r="C18" s="7"/>
      <c r="D18" s="1" t="e">
        <f ca="1">SUM(_xll.OneStop.ReportPlayer.OSRFunctions.OSRRef(D17))</f>
        <v>#NAME?</v>
      </c>
      <c r="E18" s="1"/>
      <c r="F18" s="70" t="e">
        <f ca="1">SUM(_xll.OneStop.ReportPlayer.OSRFunctions.OSRRef(D18))</f>
        <v>#NAME?</v>
      </c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</row>
    <row r="19" spans="2:17" s="127" customFormat="1" ht="6.6" customHeight="1" thickBot="1">
      <c r="B19" s="65"/>
      <c r="C19" s="61"/>
      <c r="D19" s="20"/>
      <c r="E19" s="20"/>
      <c r="F19" s="100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</row>
    <row r="20" spans="2:17" s="127" customFormat="1" ht="21" thickTop="1">
      <c r="B20" s="73" t="s">
        <v>205</v>
      </c>
      <c r="C20" s="78"/>
      <c r="D20" s="1" t="e">
        <f ca="1">D16-D18</f>
        <v>#NAME?</v>
      </c>
      <c r="E20" s="1"/>
      <c r="F20" s="70" t="e">
        <f ca="1">SUM(_xll.OneStop.ReportPlayer.OSRFunctions.OSRRef(D20))</f>
        <v>#NAME?</v>
      </c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</row>
    <row r="21" spans="2:17" s="127" customFormat="1" ht="6.6" customHeight="1">
      <c r="B21" s="42"/>
      <c r="C21" s="42"/>
      <c r="D21" s="27"/>
      <c r="E21" s="27"/>
      <c r="F21" s="111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</row>
    <row r="22" spans="2:17" s="127" customFormat="1" ht="20.25" hidden="1" outlineLevel="1">
      <c r="B22" s="18" t="e">
        <f ca="1">_xll.OneStop.ReportPlayer.OSRFunctions.OSRGet("Journal_Account","AccountNo")</f>
        <v>#NAME?</v>
      </c>
      <c r="C22" s="19" t="e">
        <f ca="1">_xll.OneStop.ReportPlayer.OSRFunctions.OSRGet("Journal_Account","AccountName")</f>
        <v>#NAME?</v>
      </c>
      <c r="D22" s="3" t="e">
        <f ca="1">_xll.OneStop.ReportPlayer.OSRFunctions.OSRGet("Journal_SubEntry","AmtCur")</f>
        <v>#NAME?</v>
      </c>
      <c r="E22" s="3"/>
      <c r="F22" s="70" t="e">
        <f ca="1">SUM(_xll.OneStop.ReportPlayer.OSRFunctions.OSRRef(D22))</f>
        <v>#NAME?</v>
      </c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  <row r="23" spans="2:17" s="127" customFormat="1" ht="20.25" collapsed="1">
      <c r="B23" s="7" t="s">
        <v>310</v>
      </c>
      <c r="C23" s="7"/>
      <c r="D23" s="1" t="e">
        <f ca="1">SUM(_xll.OneStop.ReportPlayer.OSRFunctions.OSRRef(D22))</f>
        <v>#NAME?</v>
      </c>
      <c r="E23" s="1"/>
      <c r="F23" s="70" t="e">
        <f ca="1">SUM(_xll.OneStop.ReportPlayer.OSRFunctions.OSRRef(D23))</f>
        <v>#NAME?</v>
      </c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</row>
    <row r="24" spans="2:17" s="127" customFormat="1" ht="20.25" hidden="1" outlineLevel="1">
      <c r="B24" s="18" t="e">
        <f ca="1">_xll.OneStop.ReportPlayer.OSRFunctions.OSRGet("Journal_Account","AccountNo")</f>
        <v>#NAME?</v>
      </c>
      <c r="C24" s="19" t="e">
        <f ca="1">_xll.OneStop.ReportPlayer.OSRFunctions.OSRGet("Journal_Account","AccountName")</f>
        <v>#NAME?</v>
      </c>
      <c r="D24" s="3" t="e">
        <f ca="1">_xll.OneStop.ReportPlayer.OSRFunctions.OSRGet("Journal_SubEntry","AmtCur")</f>
        <v>#NAME?</v>
      </c>
      <c r="E24" s="3"/>
      <c r="F24" s="70" t="e">
        <f ca="1">SUM(_xll.OneStop.ReportPlayer.OSRFunctions.OSRRef(D24))</f>
        <v>#NAME?</v>
      </c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</row>
    <row r="25" spans="2:17" s="127" customFormat="1" ht="20.25" collapsed="1">
      <c r="B25" s="7" t="s">
        <v>171</v>
      </c>
      <c r="C25" s="7"/>
      <c r="D25" s="1" t="e">
        <f ca="1">SUM(_xll.OneStop.ReportPlayer.OSRFunctions.OSRRef(D24))</f>
        <v>#NAME?</v>
      </c>
      <c r="E25" s="1"/>
      <c r="F25" s="70" t="e">
        <f ca="1">SUM(_xll.OneStop.ReportPlayer.OSRFunctions.OSRRef(D25))</f>
        <v>#NAME?</v>
      </c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</row>
    <row r="26" spans="2:17" s="127" customFormat="1" ht="20.25" hidden="1" outlineLevel="1">
      <c r="B26" s="18" t="e">
        <f ca="1">_xll.OneStop.ReportPlayer.OSRFunctions.OSRGet("Journal_Account","AccountNo")</f>
        <v>#NAME?</v>
      </c>
      <c r="C26" s="19" t="e">
        <f ca="1">_xll.OneStop.ReportPlayer.OSRFunctions.OSRGet("Journal_Account","AccountName")</f>
        <v>#NAME?</v>
      </c>
      <c r="D26" s="3" t="e">
        <f ca="1">_xll.OneStop.ReportPlayer.OSRFunctions.OSRGet("Journal_SubEntry","AmtCur")</f>
        <v>#NAME?</v>
      </c>
      <c r="E26" s="3"/>
      <c r="F26" s="70" t="e">
        <f ca="1">SUM(_xll.OneStop.ReportPlayer.OSRFunctions.OSRRef(D26))</f>
        <v>#NAME?</v>
      </c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</row>
    <row r="27" spans="2:17" s="127" customFormat="1" ht="20.25" collapsed="1">
      <c r="B27" s="7" t="s">
        <v>61</v>
      </c>
      <c r="C27" s="7"/>
      <c r="D27" s="1" t="e">
        <f ca="1">SUM(_xll.OneStop.ReportPlayer.OSRFunctions.OSRRef(D26))</f>
        <v>#NAME?</v>
      </c>
      <c r="E27" s="1"/>
      <c r="F27" s="70" t="e">
        <f ca="1">SUM(_xll.OneStop.ReportPlayer.OSRFunctions.OSRRef(D27))</f>
        <v>#NAME?</v>
      </c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</row>
    <row r="28" spans="2:17" s="127" customFormat="1" ht="20.25" hidden="1" outlineLevel="1">
      <c r="B28" s="18" t="e">
        <f ca="1">_xll.OneStop.ReportPlayer.OSRFunctions.OSRGet("Journal_Account","AccountNo")</f>
        <v>#NAME?</v>
      </c>
      <c r="C28" s="19" t="e">
        <f ca="1">_xll.OneStop.ReportPlayer.OSRFunctions.OSRGet("Journal_Account","AccountName")</f>
        <v>#NAME?</v>
      </c>
      <c r="D28" s="3" t="e">
        <f ca="1">_xll.OneStop.ReportPlayer.OSRFunctions.OSRGet("Journal_SubEntry","AmtCur")</f>
        <v>#NAME?</v>
      </c>
      <c r="E28" s="3"/>
      <c r="F28" s="70" t="e">
        <f ca="1">SUM(_xll.OneStop.ReportPlayer.OSRFunctions.OSRRef(D28))</f>
        <v>#NAME?</v>
      </c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</row>
    <row r="29" spans="2:17" s="127" customFormat="1" ht="20.25" collapsed="1">
      <c r="B29" s="7" t="s">
        <v>541</v>
      </c>
      <c r="C29" s="7"/>
      <c r="D29" s="1" t="e">
        <f ca="1">SUM(_xll.OneStop.ReportPlayer.OSRFunctions.OSRRef(D28))</f>
        <v>#NAME?</v>
      </c>
      <c r="E29" s="1"/>
      <c r="F29" s="70" t="e">
        <f ca="1">SUM(_xll.OneStop.ReportPlayer.OSRFunctions.OSRRef(D29))</f>
        <v>#NAME?</v>
      </c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</row>
    <row r="30" spans="2:17" s="127" customFormat="1" ht="20.25" hidden="1" outlineLevel="1">
      <c r="B30" s="18" t="e">
        <f ca="1">_xll.OneStop.ReportPlayer.OSRFunctions.OSRGet("Journal_Account","AccountNo")</f>
        <v>#NAME?</v>
      </c>
      <c r="C30" s="19" t="e">
        <f ca="1">_xll.OneStop.ReportPlayer.OSRFunctions.OSRGet("Journal_Account","AccountName")</f>
        <v>#NAME?</v>
      </c>
      <c r="D30" s="3" t="e">
        <f ca="1">_xll.OneStop.ReportPlayer.OSRFunctions.OSRGet("Journal_SubEntry","AmtCur")</f>
        <v>#NAME?</v>
      </c>
      <c r="E30" s="3"/>
      <c r="F30" s="70" t="e">
        <f ca="1">SUM(_xll.OneStop.ReportPlayer.OSRFunctions.OSRRef(D30))</f>
        <v>#NAME?</v>
      </c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</row>
    <row r="31" spans="2:17" s="127" customFormat="1" ht="20.25" collapsed="1">
      <c r="B31" s="7" t="s">
        <v>172</v>
      </c>
      <c r="C31" s="7"/>
      <c r="D31" s="1" t="e">
        <f ca="1">SUM(_xll.OneStop.ReportPlayer.OSRFunctions.OSRRef(D30))</f>
        <v>#NAME?</v>
      </c>
      <c r="E31" s="1"/>
      <c r="F31" s="70" t="e">
        <f ca="1">SUM(_xll.OneStop.ReportPlayer.OSRFunctions.OSRRef(D31))</f>
        <v>#NAME?</v>
      </c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</row>
    <row r="32" spans="2:17" s="127" customFormat="1" ht="20.25" hidden="1" outlineLevel="1">
      <c r="B32" s="18" t="e">
        <f ca="1">_xll.OneStop.ReportPlayer.OSRFunctions.OSRGet("Journal_Account","AccountNo")</f>
        <v>#NAME?</v>
      </c>
      <c r="C32" s="19" t="e">
        <f ca="1">_xll.OneStop.ReportPlayer.OSRFunctions.OSRGet("Journal_Account","AccountName")</f>
        <v>#NAME?</v>
      </c>
      <c r="D32" s="3" t="e">
        <f ca="1">_xll.OneStop.ReportPlayer.OSRFunctions.OSRGet("Journal_SubEntry","AmtCur")</f>
        <v>#NAME?</v>
      </c>
      <c r="E32" s="3"/>
      <c r="F32" s="70" t="e">
        <f ca="1">SUM(_xll.OneStop.ReportPlayer.OSRFunctions.OSRRef(D32))</f>
        <v>#NAME?</v>
      </c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</row>
    <row r="33" spans="2:17" s="127" customFormat="1" ht="20.25" collapsed="1">
      <c r="B33" s="7" t="s">
        <v>480</v>
      </c>
      <c r="C33" s="7"/>
      <c r="D33" s="1" t="e">
        <f ca="1">SUM(_xll.OneStop.ReportPlayer.OSRFunctions.OSRRef(D32))</f>
        <v>#NAME?</v>
      </c>
      <c r="E33" s="1"/>
      <c r="F33" s="70" t="e">
        <f ca="1">SUM(_xll.OneStop.ReportPlayer.OSRFunctions.OSRRef(D33))</f>
        <v>#NAME?</v>
      </c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</row>
    <row r="34" spans="2:17" s="127" customFormat="1" ht="20.25" hidden="1" outlineLevel="1">
      <c r="B34" s="18" t="e">
        <f ca="1">_xll.OneStop.ReportPlayer.OSRFunctions.OSRGet("Journal_Account","AccountNo")</f>
        <v>#NAME?</v>
      </c>
      <c r="C34" s="19" t="e">
        <f ca="1">_xll.OneStop.ReportPlayer.OSRFunctions.OSRGet("Journal_Account","AccountName")</f>
        <v>#NAME?</v>
      </c>
      <c r="D34" s="3" t="e">
        <f ca="1">_xll.OneStop.ReportPlayer.OSRFunctions.OSRGet("Journal_SubEntry","AmtCur")</f>
        <v>#NAME?</v>
      </c>
      <c r="E34" s="3"/>
      <c r="F34" s="70" t="e">
        <f ca="1">SUM(_xll.OneStop.ReportPlayer.OSRFunctions.OSRRef(D34))</f>
        <v>#NAME?</v>
      </c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</row>
    <row r="35" spans="2:17" s="127" customFormat="1" ht="20.25" collapsed="1">
      <c r="B35" s="7" t="s">
        <v>443</v>
      </c>
      <c r="C35" s="7"/>
      <c r="D35" s="1" t="e">
        <f ca="1">SUM(_xll.OneStop.ReportPlayer.OSRFunctions.OSRRef(D34))</f>
        <v>#NAME?</v>
      </c>
      <c r="E35" s="1"/>
      <c r="F35" s="70" t="e">
        <f ca="1">SUM(_xll.OneStop.ReportPlayer.OSRFunctions.OSRRef(D35))</f>
        <v>#NAME?</v>
      </c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</row>
    <row r="36" spans="2:17" s="127" customFormat="1" ht="20.25" hidden="1" outlineLevel="1">
      <c r="B36" s="18" t="e">
        <f ca="1">_xll.OneStop.ReportPlayer.OSRFunctions.OSRGet("Journal_Account","AccountNo")</f>
        <v>#NAME?</v>
      </c>
      <c r="C36" s="19" t="e">
        <f ca="1">_xll.OneStop.ReportPlayer.OSRFunctions.OSRGet("Journal_Account","AccountName")</f>
        <v>#NAME?</v>
      </c>
      <c r="D36" s="3" t="e">
        <f ca="1">_xll.OneStop.ReportPlayer.OSRFunctions.OSRGet("Journal_SubEntry","AmtCur")</f>
        <v>#NAME?</v>
      </c>
      <c r="E36" s="3"/>
      <c r="F36" s="70" t="e">
        <f ca="1">SUM(_xll.OneStop.ReportPlayer.OSRFunctions.OSRRef(D36))</f>
        <v>#NAME?</v>
      </c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</row>
    <row r="37" spans="2:17" s="127" customFormat="1" ht="20.25" collapsed="1">
      <c r="B37" s="7" t="s">
        <v>238</v>
      </c>
      <c r="C37" s="7"/>
      <c r="D37" s="1" t="e">
        <f ca="1">SUM(_xll.OneStop.ReportPlayer.OSRFunctions.OSRRef(D36))</f>
        <v>#NAME?</v>
      </c>
      <c r="E37" s="1"/>
      <c r="F37" s="70" t="e">
        <f ca="1">SUM(_xll.OneStop.ReportPlayer.OSRFunctions.OSRRef(D37))</f>
        <v>#NAME?</v>
      </c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</row>
    <row r="38" spans="2:17" s="127" customFormat="1" ht="20.25" hidden="1" outlineLevel="1">
      <c r="B38" s="18" t="e">
        <f ca="1">_xll.OneStop.ReportPlayer.OSRFunctions.OSRGet("Journal_Account","AccountNo")</f>
        <v>#NAME?</v>
      </c>
      <c r="C38" s="19" t="e">
        <f ca="1">_xll.OneStop.ReportPlayer.OSRFunctions.OSRGet("Journal_Account","AccountName")</f>
        <v>#NAME?</v>
      </c>
      <c r="D38" s="3" t="e">
        <f ca="1">_xll.OneStop.ReportPlayer.OSRFunctions.OSRGet("Journal_SubEntry","AmtCur")</f>
        <v>#NAME?</v>
      </c>
      <c r="E38" s="3"/>
      <c r="F38" s="70" t="e">
        <f ca="1">SUM(_xll.OneStop.ReportPlayer.OSRFunctions.OSRRef(D38))</f>
        <v>#NAME?</v>
      </c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</row>
    <row r="39" spans="2:17" s="127" customFormat="1" ht="20.25" collapsed="1">
      <c r="B39" s="7" t="s">
        <v>84</v>
      </c>
      <c r="C39" s="7"/>
      <c r="D39" s="1" t="e">
        <f ca="1">SUM(_xll.OneStop.ReportPlayer.OSRFunctions.OSRRef(D38))</f>
        <v>#NAME?</v>
      </c>
      <c r="E39" s="1"/>
      <c r="F39" s="70" t="e">
        <f ca="1">SUM(_xll.OneStop.ReportPlayer.OSRFunctions.OSRRef(D39))</f>
        <v>#NAME?</v>
      </c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</row>
    <row r="40" spans="2:17" s="127" customFormat="1" ht="20.25" hidden="1" outlineLevel="1">
      <c r="B40" s="18" t="e">
        <f ca="1">_xll.OneStop.ReportPlayer.OSRFunctions.OSRGet("Journal_Account","AccountNo")</f>
        <v>#NAME?</v>
      </c>
      <c r="C40" s="19" t="e">
        <f ca="1">_xll.OneStop.ReportPlayer.OSRFunctions.OSRGet("Journal_Account","AccountName")</f>
        <v>#NAME?</v>
      </c>
      <c r="D40" s="3" t="e">
        <f ca="1">_xll.OneStop.ReportPlayer.OSRFunctions.OSRGet("Journal_SubEntry","AmtCur")</f>
        <v>#NAME?</v>
      </c>
      <c r="E40" s="3"/>
      <c r="F40" s="70" t="e">
        <f ca="1">SUM(_xll.OneStop.ReportPlayer.OSRFunctions.OSRRef(D40))</f>
        <v>#NAME?</v>
      </c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</row>
    <row r="41" spans="2:17" s="127" customFormat="1" ht="20.25" collapsed="1">
      <c r="B41" s="7" t="s">
        <v>123</v>
      </c>
      <c r="C41" s="7"/>
      <c r="D41" s="1" t="e">
        <f ca="1">SUM(_xll.OneStop.ReportPlayer.OSRFunctions.OSRRef(D40))</f>
        <v>#NAME?</v>
      </c>
      <c r="E41" s="1"/>
      <c r="F41" s="70" t="e">
        <f ca="1">SUM(_xll.OneStop.ReportPlayer.OSRFunctions.OSRRef(D41))</f>
        <v>#NAME?</v>
      </c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</row>
    <row r="42" spans="2:17" s="127" customFormat="1" ht="20.25" hidden="1" outlineLevel="1">
      <c r="B42" s="18" t="e">
        <f ca="1">_xll.OneStop.ReportPlayer.OSRFunctions.OSRGet("Journal_Account","AccountNo")</f>
        <v>#NAME?</v>
      </c>
      <c r="C42" s="19" t="e">
        <f ca="1">_xll.OneStop.ReportPlayer.OSRFunctions.OSRGet("Journal_Account","AccountName")</f>
        <v>#NAME?</v>
      </c>
      <c r="D42" s="3" t="e">
        <f ca="1">_xll.OneStop.ReportPlayer.OSRFunctions.OSRGet("Journal_SubEntry","AmtCur")</f>
        <v>#NAME?</v>
      </c>
      <c r="E42" s="3"/>
      <c r="F42" s="70" t="e">
        <f ca="1">SUM(_xll.OneStop.ReportPlayer.OSRFunctions.OSRRef(D42))</f>
        <v>#NAME?</v>
      </c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</row>
    <row r="43" spans="2:17" s="127" customFormat="1" ht="20.25" collapsed="1">
      <c r="B43" s="7" t="s">
        <v>173</v>
      </c>
      <c r="C43" s="7"/>
      <c r="D43" s="1" t="e">
        <f ca="1">SUM(_xll.OneStop.ReportPlayer.OSRFunctions.OSRRef(D42))</f>
        <v>#NAME?</v>
      </c>
      <c r="E43" s="1"/>
      <c r="F43" s="70" t="e">
        <f ca="1">SUM(_xll.OneStop.ReportPlayer.OSRFunctions.OSRRef(D43))</f>
        <v>#NAME?</v>
      </c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</row>
    <row r="44" spans="2:17" s="127" customFormat="1" ht="20.25" hidden="1" outlineLevel="1">
      <c r="B44" s="18" t="e">
        <f ca="1">_xll.OneStop.ReportPlayer.OSRFunctions.OSRGet("Journal_Account","AccountNo")</f>
        <v>#NAME?</v>
      </c>
      <c r="C44" s="19" t="e">
        <f ca="1">_xll.OneStop.ReportPlayer.OSRFunctions.OSRGet("Journal_Account","AccountName")</f>
        <v>#NAME?</v>
      </c>
      <c r="D44" s="3" t="e">
        <f ca="1">_xll.OneStop.ReportPlayer.OSRFunctions.OSRGet("Journal_SubEntry","AmtCur")</f>
        <v>#NAME?</v>
      </c>
      <c r="E44" s="3"/>
      <c r="F44" s="70" t="e">
        <f ca="1">SUM(_xll.OneStop.ReportPlayer.OSRFunctions.OSRRef(D44))</f>
        <v>#NAME?</v>
      </c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</row>
    <row r="45" spans="2:17" s="127" customFormat="1" ht="20.25" collapsed="1">
      <c r="B45" s="7" t="s">
        <v>481</v>
      </c>
      <c r="C45" s="7"/>
      <c r="D45" s="1" t="e">
        <f ca="1">SUM(_xll.OneStop.ReportPlayer.OSRFunctions.OSRRef(D44))</f>
        <v>#NAME?</v>
      </c>
      <c r="E45" s="1"/>
      <c r="F45" s="70" t="e">
        <f ca="1">SUM(_xll.OneStop.ReportPlayer.OSRFunctions.OSRRef(D45))</f>
        <v>#NAME?</v>
      </c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</row>
    <row r="46" spans="2:17" s="127" customFormat="1" ht="20.25" hidden="1" outlineLevel="1">
      <c r="B46" s="18" t="e">
        <f ca="1">_xll.OneStop.ReportPlayer.OSRFunctions.OSRGet("Journal_Account","AccountNo")</f>
        <v>#NAME?</v>
      </c>
      <c r="C46" s="19" t="e">
        <f ca="1">_xll.OneStop.ReportPlayer.OSRFunctions.OSRGet("Journal_Account","AccountName")</f>
        <v>#NAME?</v>
      </c>
      <c r="D46" s="3" t="e">
        <f ca="1">_xll.OneStop.ReportPlayer.OSRFunctions.OSRGet("Journal_SubEntry","AmtCur")</f>
        <v>#NAME?</v>
      </c>
      <c r="E46" s="3"/>
      <c r="F46" s="70" t="e">
        <f ca="1">SUM(_xll.OneStop.ReportPlayer.OSRFunctions.OSRRef(D46))</f>
        <v>#NAME?</v>
      </c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</row>
    <row r="47" spans="2:17" s="127" customFormat="1" ht="20.25" collapsed="1">
      <c r="B47" s="7" t="s">
        <v>174</v>
      </c>
      <c r="C47" s="7"/>
      <c r="D47" s="1" t="e">
        <f ca="1">SUM(_xll.OneStop.ReportPlayer.OSRFunctions.OSRRef(D46))</f>
        <v>#NAME?</v>
      </c>
      <c r="E47" s="1"/>
      <c r="F47" s="70" t="e">
        <f ca="1">SUM(_xll.OneStop.ReportPlayer.OSRFunctions.OSRRef(D47))</f>
        <v>#NAME?</v>
      </c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</row>
    <row r="48" spans="2:17" s="127" customFormat="1" ht="20.25" hidden="1" outlineLevel="1">
      <c r="B48" s="18" t="e">
        <f ca="1">_xll.OneStop.ReportPlayer.OSRFunctions.OSRGet("Journal_Account","AccountNo")</f>
        <v>#NAME?</v>
      </c>
      <c r="C48" s="19" t="e">
        <f ca="1">_xll.OneStop.ReportPlayer.OSRFunctions.OSRGet("Journal_Account","AccountName")</f>
        <v>#NAME?</v>
      </c>
      <c r="D48" s="3" t="e">
        <f ca="1">_xll.OneStop.ReportPlayer.OSRFunctions.OSRGet("Journal_SubEntry","AmtCur")</f>
        <v>#NAME?</v>
      </c>
      <c r="E48" s="3"/>
      <c r="F48" s="70" t="e">
        <f ca="1">SUM(_xll.OneStop.ReportPlayer.OSRFunctions.OSRRef(D48))</f>
        <v>#NAME?</v>
      </c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</row>
    <row r="49" spans="2:18" s="127" customFormat="1" ht="20.25" collapsed="1">
      <c r="B49" s="7" t="s">
        <v>85</v>
      </c>
      <c r="C49" s="7"/>
      <c r="D49" s="1" t="e">
        <f ca="1">SUM(_xll.OneStop.ReportPlayer.OSRFunctions.OSRRef(D48))</f>
        <v>#NAME?</v>
      </c>
      <c r="E49" s="1"/>
      <c r="F49" s="70" t="e">
        <f ca="1">SUM(_xll.OneStop.ReportPlayer.OSRFunctions.OSRRef(D49))</f>
        <v>#NAME?</v>
      </c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</row>
    <row r="50" spans="2:18" s="127" customFormat="1" ht="6.6" customHeight="1" thickBot="1">
      <c r="B50" s="65"/>
      <c r="C50" s="61"/>
      <c r="D50" s="20"/>
      <c r="E50" s="20"/>
      <c r="F50" s="100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</row>
    <row r="51" spans="2:18" s="127" customFormat="1" ht="21" thickTop="1">
      <c r="B51" s="73" t="s">
        <v>116</v>
      </c>
      <c r="C51" s="78"/>
      <c r="D51" s="1" t="e">
        <f ca="1">D20-D23-D25-D27-D29-D31-D33-D35-D37-D39-D41-D43-D45-D47-D49</f>
        <v>#NAME?</v>
      </c>
      <c r="E51" s="1"/>
      <c r="F51" s="70" t="e">
        <f ca="1">SUM(_xll.OneStop.ReportPlayer.OSRFunctions.OSRRef(D51))</f>
        <v>#NAME?</v>
      </c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</row>
    <row r="52" spans="2:18" s="127" customFormat="1" ht="6.6" customHeight="1">
      <c r="B52" s="42"/>
      <c r="C52" s="42"/>
      <c r="D52" s="27"/>
      <c r="E52" s="27"/>
      <c r="F52" s="111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</row>
    <row r="53" spans="2:18" s="127" customFormat="1" ht="20.25" hidden="1" outlineLevel="1">
      <c r="B53" s="18" t="e">
        <f ca="1">_xll.OneStop.ReportPlayer.OSRFunctions.OSRGet("Journal_Account","AccountNo")</f>
        <v>#NAME?</v>
      </c>
      <c r="C53" s="19" t="e">
        <f ca="1">_xll.OneStop.ReportPlayer.OSRFunctions.OSRGet("Journal_Account","AccountName")</f>
        <v>#NAME?</v>
      </c>
      <c r="D53" s="3" t="e">
        <f ca="1">_xll.OneStop.ReportPlayer.OSRFunctions.OSRGet("Journal_SubEntry","AmtCur")</f>
        <v>#NAME?</v>
      </c>
      <c r="E53" s="3"/>
      <c r="F53" s="70" t="e">
        <f ca="1">SUM(_xll.OneStop.ReportPlayer.OSRFunctions.OSRRef(D53))</f>
        <v>#NAME?</v>
      </c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</row>
    <row r="54" spans="2:18" s="127" customFormat="1" ht="17.45" customHeight="1" collapsed="1">
      <c r="B54" s="7" t="s">
        <v>199</v>
      </c>
      <c r="C54" s="7"/>
      <c r="D54" s="1" t="e">
        <f ca="1">SUM(_xll.OneStop.ReportPlayer.OSRFunctions.OSRRef(D53))</f>
        <v>#NAME?</v>
      </c>
      <c r="E54" s="1"/>
      <c r="F54" s="70" t="e">
        <f ca="1">SUM(_xll.OneStop.ReportPlayer.OSRFunctions.OSRRef(D54))</f>
        <v>#NAME?</v>
      </c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</row>
    <row r="55" spans="2:18" s="127" customFormat="1" ht="6.6" customHeight="1" thickBot="1">
      <c r="B55" s="65"/>
      <c r="C55" s="61"/>
      <c r="D55" s="20"/>
      <c r="E55" s="20"/>
      <c r="F55" s="100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2:18" s="127" customFormat="1" ht="21" thickTop="1">
      <c r="B56" s="73" t="s">
        <v>474</v>
      </c>
      <c r="C56" s="78"/>
      <c r="D56" s="1" t="e">
        <f ca="1">D51-D54</f>
        <v>#NAME?</v>
      </c>
      <c r="E56" s="1"/>
      <c r="F56" s="70" t="e">
        <f ca="1">SUM(_xll.OneStop.ReportPlayer.OSRFunctions.OSRRef(D56))</f>
        <v>#NAME?</v>
      </c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2:18" s="127" customFormat="1" ht="6.6" customHeight="1">
      <c r="B57" s="42"/>
      <c r="C57" s="42"/>
      <c r="D57" s="27"/>
      <c r="E57" s="27"/>
      <c r="F57" s="111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  <row r="58" spans="2:18" s="127" customFormat="1" ht="20.25" hidden="1" outlineLevel="1">
      <c r="B58" s="18" t="e">
        <f ca="1">_xll.OneStop.ReportPlayer.OSRFunctions.OSRGet("Journal_Account","AccountNo")</f>
        <v>#NAME?</v>
      </c>
      <c r="C58" s="19" t="e">
        <f ca="1">_xll.OneStop.ReportPlayer.OSRFunctions.OSRGet("Journal_Account","AccountName")</f>
        <v>#NAME?</v>
      </c>
      <c r="D58" s="3" t="e">
        <f ca="1">_xll.OneStop.ReportPlayer.OSRFunctions.OSRGet("Journal_SubEntry","AmtCur")</f>
        <v>#NAME?</v>
      </c>
      <c r="E58" s="3"/>
      <c r="F58" s="70" t="e">
        <f ca="1">SUM(_xll.OneStop.ReportPlayer.OSRFunctions.OSRRef(D58))</f>
        <v>#NAME?</v>
      </c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</row>
    <row r="59" spans="2:18" s="127" customFormat="1" ht="20.25" hidden="1" outlineLevel="1">
      <c r="B59" s="18" t="e">
        <f ca="1">_xll.OneStop.ReportPlayer.OSRFunctions.OSRGet("Journal_Account","AccountNo")</f>
        <v>#NAME?</v>
      </c>
      <c r="C59" s="19" t="e">
        <f ca="1">_xll.OneStop.ReportPlayer.OSRFunctions.OSRGet("Journal_Account","AccountName")</f>
        <v>#NAME?</v>
      </c>
      <c r="D59" s="3" t="e">
        <f ca="1">_xll.OneStop.ReportPlayer.OSRFunctions.OSRGet("Journal_SubEntry","AmtCur")</f>
        <v>#NAME?</v>
      </c>
      <c r="E59" s="3"/>
      <c r="F59" s="70" t="e">
        <f ca="1">SUM(_xll.OneStop.ReportPlayer.OSRFunctions.OSRRef(D59))</f>
        <v>#NAME?</v>
      </c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</row>
    <row r="60" spans="2:18" s="127" customFormat="1" ht="17.45" customHeight="1" collapsed="1">
      <c r="B60" s="7" t="s">
        <v>81</v>
      </c>
      <c r="C60" s="7"/>
      <c r="D60" s="1" t="e">
        <f ca="1">SUM(_xll.OneStop.ReportPlayer.OSRFunctions.OSRRef(D58))+SUM(_xll.OneStop.ReportPlayer.OSRFunctions.OSRRef(D59))</f>
        <v>#NAME?</v>
      </c>
      <c r="E60" s="1"/>
      <c r="F60" s="70" t="e">
        <f ca="1">SUM(_xll.OneStop.ReportPlayer.OSRFunctions.OSRRef(D60))</f>
        <v>#NAME?</v>
      </c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</row>
    <row r="61" spans="2:18" s="127" customFormat="1" ht="6.6" customHeight="1" thickBot="1">
      <c r="B61" s="65"/>
      <c r="C61" s="61"/>
      <c r="D61" s="20"/>
      <c r="E61" s="20"/>
      <c r="F61" s="100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</row>
    <row r="62" spans="2:18" s="127" customFormat="1" ht="21.75" thickTop="1" thickBot="1">
      <c r="B62" s="130" t="s">
        <v>117</v>
      </c>
      <c r="C62" s="155"/>
      <c r="D62" s="52" t="e">
        <f ca="1">D56-D60</f>
        <v>#NAME?</v>
      </c>
      <c r="E62" s="52"/>
      <c r="F62" s="176" t="e">
        <f ca="1">SUM(_xll.OneStop.ReportPlayer.OSRFunctions.OSRRef(D62))</f>
        <v>#NAME?</v>
      </c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</row>
    <row r="63" spans="2:18" s="45" customFormat="1" ht="6.6" customHeight="1" thickTop="1">
      <c r="B63" s="132"/>
      <c r="C63" s="132"/>
      <c r="D63" s="66"/>
      <c r="E63" s="66"/>
      <c r="F63" s="174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</row>
    <row r="64" spans="2:18" s="110" customFormat="1" ht="6.6" customHeight="1">
      <c r="B64" s="76"/>
      <c r="C64" s="76"/>
      <c r="D64" s="23"/>
      <c r="E64" s="23"/>
      <c r="F64" s="23"/>
      <c r="G64" s="23"/>
      <c r="H64" s="23"/>
      <c r="J64" s="30"/>
      <c r="K64" s="30"/>
      <c r="L64" s="30"/>
      <c r="M64" s="30"/>
      <c r="N64" s="30"/>
      <c r="O64" s="30"/>
      <c r="P64" s="30"/>
      <c r="Q64" s="30"/>
      <c r="R64" s="30"/>
    </row>
    <row r="65" spans="2:18" s="40" customFormat="1" ht="15.6" customHeight="1">
      <c r="B65" s="144" t="s">
        <v>477</v>
      </c>
      <c r="C65" s="59"/>
      <c r="D65" s="13"/>
      <c r="E65" s="13"/>
      <c r="F65" s="13"/>
      <c r="G65" s="13"/>
      <c r="H65" s="13"/>
      <c r="J65" s="10"/>
      <c r="K65" s="10"/>
      <c r="L65" s="10"/>
      <c r="M65" s="10"/>
      <c r="N65" s="10"/>
      <c r="O65" s="10"/>
      <c r="P65" s="10"/>
      <c r="Q65" s="10"/>
      <c r="R65" s="10"/>
    </row>
    <row r="66" spans="2:18" s="40" customFormat="1" ht="6.6" customHeight="1">
      <c r="B66" s="8"/>
      <c r="C66" s="8"/>
      <c r="D66" s="26"/>
      <c r="E66" s="26"/>
      <c r="F66" s="26"/>
      <c r="G66" s="26"/>
      <c r="H66" s="92"/>
    </row>
    <row r="67" spans="2:18" s="140" customFormat="1" ht="21.6" customHeight="1">
      <c r="B67" s="119" t="s">
        <v>161</v>
      </c>
      <c r="C67" s="47"/>
      <c r="D67" s="41">
        <f ca="1">IFERROR(D20/D16,0)</f>
        <v>0</v>
      </c>
      <c r="E67" s="41"/>
      <c r="F67" s="41">
        <f ca="1">IFERROR(F20/F16,0)</f>
        <v>0</v>
      </c>
      <c r="G67" s="121"/>
      <c r="H67" s="121"/>
      <c r="J67" s="5"/>
      <c r="K67" s="5"/>
      <c r="L67" s="5"/>
      <c r="M67" s="5"/>
      <c r="N67" s="5"/>
      <c r="O67" s="5"/>
      <c r="P67" s="5"/>
      <c r="Q67" s="5"/>
      <c r="R67" s="5"/>
    </row>
    <row r="68" spans="2:18" s="140" customFormat="1" ht="21.6" customHeight="1">
      <c r="B68" s="119" t="s">
        <v>437</v>
      </c>
      <c r="C68" s="47"/>
      <c r="D68" s="41">
        <f ca="1">IFERROR(D51/D16,0)</f>
        <v>0</v>
      </c>
      <c r="E68" s="41"/>
      <c r="F68" s="41">
        <f ca="1">IFERROR(F51/F16,0)</f>
        <v>0</v>
      </c>
      <c r="G68" s="121"/>
      <c r="H68" s="121"/>
      <c r="J68" s="5"/>
      <c r="K68" s="5"/>
      <c r="L68" s="5"/>
      <c r="M68" s="5"/>
      <c r="N68" s="5"/>
      <c r="O68" s="5"/>
      <c r="P68" s="5"/>
      <c r="Q68" s="5"/>
      <c r="R68" s="5"/>
    </row>
    <row r="69" spans="2:18" s="140" customFormat="1" ht="21.6" customHeight="1">
      <c r="B69" s="119" t="s">
        <v>162</v>
      </c>
      <c r="C69" s="47"/>
      <c r="D69" s="41">
        <f ca="1">IFERROR(D56/D16,0)</f>
        <v>0</v>
      </c>
      <c r="E69" s="41"/>
      <c r="F69" s="41">
        <f ca="1">IFERROR(F56/F16,0)</f>
        <v>0</v>
      </c>
      <c r="G69" s="121"/>
      <c r="H69" s="121"/>
      <c r="J69" s="5"/>
      <c r="K69" s="5"/>
      <c r="L69" s="5"/>
      <c r="M69" s="5"/>
      <c r="N69" s="5"/>
      <c r="O69" s="5"/>
      <c r="P69" s="5"/>
      <c r="Q69" s="5"/>
      <c r="R69" s="5"/>
    </row>
    <row r="70" spans="2:18" s="140" customFormat="1" ht="21.6" customHeight="1">
      <c r="B70" s="119" t="s">
        <v>372</v>
      </c>
      <c r="C70" s="47"/>
      <c r="D70" s="41">
        <f ca="1">IFERROR(D62/D16,0)</f>
        <v>0</v>
      </c>
      <c r="E70" s="41"/>
      <c r="F70" s="41">
        <f ca="1">IFERROR(F62/F16,0)</f>
        <v>0</v>
      </c>
      <c r="G70" s="121"/>
      <c r="H70" s="121"/>
      <c r="J70" s="5"/>
      <c r="K70" s="5"/>
      <c r="L70" s="5"/>
      <c r="M70" s="5"/>
      <c r="N70" s="5"/>
      <c r="O70" s="5"/>
      <c r="P70" s="5"/>
      <c r="Q70" s="5"/>
      <c r="R70" s="5"/>
    </row>
    <row r="71" spans="2:18" s="140" customFormat="1" ht="21.6" customHeight="1">
      <c r="B71" s="119" t="s">
        <v>479</v>
      </c>
      <c r="C71" s="47"/>
      <c r="D71" s="41">
        <f ca="1">IFERROR(D23/D16,0)</f>
        <v>0</v>
      </c>
      <c r="E71" s="41"/>
      <c r="F71" s="41">
        <f ca="1">IFERROR(F23/F16,0)</f>
        <v>0</v>
      </c>
      <c r="G71" s="121"/>
      <c r="H71" s="121"/>
      <c r="J71" s="5"/>
      <c r="K71" s="5"/>
      <c r="L71" s="5"/>
      <c r="M71" s="5"/>
      <c r="N71" s="5"/>
      <c r="O71" s="5"/>
      <c r="P71" s="5"/>
      <c r="Q71" s="5"/>
      <c r="R71" s="5"/>
    </row>
    <row r="72" spans="2:18" s="40" customFormat="1" ht="6.6" customHeight="1">
      <c r="B72" s="114"/>
      <c r="C72" s="117"/>
      <c r="D72" s="14"/>
      <c r="E72" s="14"/>
      <c r="F72" s="14"/>
      <c r="G72" s="131"/>
      <c r="H72" s="131"/>
      <c r="J72" s="10"/>
      <c r="K72" s="10"/>
      <c r="L72" s="10"/>
      <c r="M72" s="10"/>
      <c r="N72" s="10"/>
      <c r="O72" s="10"/>
      <c r="P72" s="10"/>
      <c r="Q72" s="10"/>
      <c r="R72" s="10"/>
    </row>
    <row r="73" spans="2:18" s="40" customFormat="1" ht="13.15" customHeight="1">
      <c r="B73" s="114"/>
      <c r="C73" s="117"/>
      <c r="D73" s="14"/>
      <c r="E73" s="14"/>
      <c r="F73" s="28"/>
      <c r="G73" s="131"/>
      <c r="H73" s="131"/>
      <c r="J73" s="10"/>
      <c r="K73" s="10"/>
      <c r="L73" s="10"/>
      <c r="M73" s="10"/>
      <c r="N73" s="10"/>
      <c r="O73" s="10"/>
      <c r="P73" s="10"/>
      <c r="Q73" s="10"/>
      <c r="R73" s="10"/>
    </row>
  </sheetData>
  <mergeCells count="4">
    <mergeCell ref="D5:H5"/>
    <mergeCell ref="B6:C6"/>
    <mergeCell ref="D6:H6"/>
    <mergeCell ref="D10:E10"/>
  </mergeCells>
  <hyperlinks>
    <hyperlink ref="B1" location="Forside!A1" display="Forside"/>
  </hyperlinks>
  <pageMargins left="0.7" right="0.7" top="0.75" bottom="0.75" header="0.3" footer="0.3"/>
  <pageSetup fitToHeight="0" orientation="landscape"/>
  <headerFooter>
    <oddFooter>&amp;CSide &amp;P av &amp;N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P24"/>
  <sheetViews>
    <sheetView showGridLines="0" zoomScale="70" workbookViewId="0">
      <pane ySplit="11" topLeftCell="A12" activePane="bottomLeft" state="frozen"/>
      <selection activeCell="C29" sqref="C29"/>
      <selection pane="bottomLeft" activeCell="C21" sqref="C21"/>
    </sheetView>
  </sheetViews>
  <sheetFormatPr baseColWidth="10" defaultColWidth="9.140625" defaultRowHeight="15" outlineLevelRow="1"/>
  <cols>
    <col min="1" max="1" width="3.7109375" customWidth="1"/>
    <col min="2" max="2" width="11.42578125" customWidth="1"/>
    <col min="3" max="3" width="35.7109375" customWidth="1"/>
    <col min="4" max="4" width="22.42578125" style="169" customWidth="1"/>
    <col min="5" max="5" width="23.28515625" style="167" customWidth="1"/>
    <col min="6" max="6" width="22" style="167" customWidth="1"/>
    <col min="7" max="7" width="18.28515625" customWidth="1"/>
    <col min="8" max="8" width="1.7109375" customWidth="1"/>
  </cols>
  <sheetData>
    <row r="1" spans="2:16" s="40" customFormat="1" ht="15.6" customHeight="1">
      <c r="B1" s="59" t="s">
        <v>513</v>
      </c>
    </row>
    <row r="2" spans="2:16" s="40" customFormat="1" ht="21" customHeight="1">
      <c r="B2" s="82" t="s">
        <v>124</v>
      </c>
      <c r="D2" s="8"/>
      <c r="F2" s="8"/>
    </row>
    <row r="3" spans="2:16" s="40" customFormat="1" ht="30.6" customHeight="1">
      <c r="B3" s="85" t="s">
        <v>506</v>
      </c>
      <c r="D3" s="8"/>
      <c r="E3" s="8"/>
      <c r="F3" s="8"/>
      <c r="I3" s="8"/>
      <c r="K3" s="8"/>
      <c r="M3" s="8"/>
      <c r="N3" s="8"/>
    </row>
    <row r="4" spans="2:16" s="45" customFormat="1" ht="9.6" customHeight="1"/>
    <row r="5" spans="2:16" s="40" customFormat="1" ht="15.6" customHeight="1">
      <c r="B5" s="83" t="s">
        <v>25</v>
      </c>
      <c r="C5" s="151">
        <f ca="1">TODAY()</f>
        <v>44261</v>
      </c>
      <c r="G5" s="33"/>
      <c r="H5" s="33"/>
      <c r="J5" s="33"/>
      <c r="L5" s="33"/>
      <c r="O5" s="33"/>
    </row>
    <row r="6" spans="2:16" s="45" customFormat="1" ht="6.6" customHeight="1">
      <c r="B6" s="81"/>
      <c r="C6" s="37"/>
      <c r="D6" s="37"/>
      <c r="E6" s="34"/>
      <c r="F6" s="34"/>
      <c r="G6" s="67"/>
      <c r="H6" s="67"/>
    </row>
    <row r="7" spans="2:16" s="45" customFormat="1" ht="18">
      <c r="B7" s="72"/>
      <c r="C7" s="72"/>
      <c r="D7" s="58"/>
      <c r="E7" s="47"/>
      <c r="F7" s="58"/>
      <c r="G7" s="58"/>
      <c r="H7" s="58"/>
    </row>
    <row r="8" spans="2:16" s="45" customFormat="1" ht="18">
      <c r="B8" s="47" t="s">
        <v>203</v>
      </c>
      <c r="C8" s="98" t="s">
        <v>163</v>
      </c>
      <c r="D8" s="98" t="s">
        <v>401</v>
      </c>
      <c r="E8" s="47" t="s">
        <v>507</v>
      </c>
      <c r="F8" s="47" t="s">
        <v>434</v>
      </c>
      <c r="G8" s="25" t="s">
        <v>311</v>
      </c>
      <c r="H8" s="47"/>
    </row>
    <row r="9" spans="2:16" s="45" customFormat="1" ht="6.6" customHeight="1">
      <c r="B9" s="11"/>
      <c r="C9" s="11"/>
      <c r="D9" s="11"/>
      <c r="E9" s="11"/>
      <c r="F9" s="11"/>
      <c r="G9" s="11"/>
      <c r="H9" s="11"/>
    </row>
    <row r="10" spans="2:16" s="45" customFormat="1" ht="2.4500000000000002" customHeight="1">
      <c r="B10" s="54"/>
      <c r="C10" s="54"/>
      <c r="D10" s="21"/>
      <c r="E10" s="21"/>
      <c r="F10" s="21"/>
      <c r="G10" s="21"/>
      <c r="H10" s="21"/>
    </row>
    <row r="11" spans="2:16" s="45" customFormat="1" ht="6.6" customHeight="1">
      <c r="B11" s="56"/>
      <c r="C11" s="56"/>
      <c r="D11" s="17"/>
      <c r="E11" s="17"/>
      <c r="F11" s="17"/>
      <c r="G11" s="17"/>
      <c r="H11" s="17"/>
    </row>
    <row r="12" spans="2:16" s="80" customFormat="1" collapsed="1">
      <c r="B12" s="108"/>
      <c r="C12" s="105"/>
      <c r="D12" s="44"/>
      <c r="E12" s="44"/>
      <c r="F12" s="44"/>
      <c r="G12" s="88"/>
      <c r="H12" s="88"/>
      <c r="I12" s="9"/>
      <c r="J12" s="9"/>
      <c r="K12" s="9"/>
      <c r="L12" s="9"/>
      <c r="M12" s="9"/>
      <c r="N12" s="9"/>
      <c r="O12" s="9"/>
      <c r="P12" s="9"/>
    </row>
    <row r="13" spans="2:16" s="80" customFormat="1" hidden="1" outlineLevel="1">
      <c r="B13" s="104"/>
      <c r="C13" s="107"/>
      <c r="D13" s="84"/>
      <c r="E13" s="68"/>
      <c r="F13" s="68"/>
      <c r="G13" s="88"/>
      <c r="H13" s="88"/>
      <c r="I13" s="9"/>
      <c r="J13" s="9"/>
      <c r="K13" s="9"/>
      <c r="L13" s="9"/>
      <c r="M13" s="9"/>
      <c r="N13" s="9"/>
      <c r="O13" s="9"/>
      <c r="P13" s="9"/>
    </row>
    <row r="14" spans="2:16" s="106" customFormat="1" ht="9.6" customHeight="1">
      <c r="G14" s="88"/>
      <c r="H14" s="88"/>
    </row>
    <row r="15" spans="2:16" s="80" customFormat="1" collapsed="1">
      <c r="B15" s="108"/>
      <c r="C15" s="105"/>
      <c r="D15" s="44"/>
      <c r="E15" s="44"/>
      <c r="F15" s="44"/>
      <c r="G15" s="88"/>
      <c r="H15" s="88"/>
      <c r="I15" s="9"/>
      <c r="J15" s="9"/>
      <c r="K15" s="9"/>
      <c r="L15" s="9"/>
      <c r="M15" s="9"/>
      <c r="N15" s="9"/>
      <c r="O15" s="9"/>
      <c r="P15" s="9"/>
    </row>
    <row r="16" spans="2:16" s="80" customFormat="1" hidden="1" outlineLevel="1">
      <c r="B16" s="104"/>
      <c r="C16" s="107"/>
      <c r="D16" s="84"/>
      <c r="E16" s="68"/>
      <c r="F16" s="68"/>
      <c r="G16" s="88"/>
      <c r="H16" s="88"/>
      <c r="I16" s="9"/>
      <c r="J16" s="9"/>
      <c r="K16" s="9"/>
      <c r="L16" s="9"/>
      <c r="M16" s="9"/>
      <c r="N16" s="9"/>
      <c r="O16" s="9"/>
      <c r="P16" s="9"/>
    </row>
    <row r="17" spans="1:16" s="106" customFormat="1" ht="9.6" customHeight="1">
      <c r="G17" s="88"/>
      <c r="H17" s="88"/>
    </row>
    <row r="18" spans="1:16" s="80" customFormat="1" collapsed="1">
      <c r="B18" s="108"/>
      <c r="C18" s="105"/>
      <c r="D18" s="44"/>
      <c r="E18" s="44"/>
      <c r="F18" s="44"/>
      <c r="G18" s="88"/>
      <c r="H18" s="88"/>
      <c r="I18" s="9"/>
      <c r="J18" s="9"/>
      <c r="K18" s="9"/>
      <c r="L18" s="9"/>
      <c r="M18" s="9"/>
      <c r="N18" s="9"/>
      <c r="O18" s="9"/>
      <c r="P18" s="9"/>
    </row>
    <row r="19" spans="1:16" s="80" customFormat="1" hidden="1" outlineLevel="1">
      <c r="B19" s="104"/>
      <c r="C19" s="107"/>
      <c r="D19" s="84"/>
      <c r="E19" s="68"/>
      <c r="F19" s="68"/>
      <c r="G19" s="88"/>
      <c r="H19" s="88"/>
      <c r="I19" s="9"/>
      <c r="J19" s="9"/>
      <c r="K19" s="9"/>
      <c r="L19" s="9"/>
      <c r="M19" s="9"/>
      <c r="N19" s="9"/>
      <c r="O19" s="9"/>
      <c r="P19" s="9"/>
    </row>
    <row r="20" spans="1:16" s="106" customFormat="1" ht="9.6" customHeight="1" thickBot="1">
      <c r="G20" s="88"/>
      <c r="H20" s="88"/>
    </row>
    <row r="21" spans="1:16" s="80" customFormat="1" ht="16.5" thickTop="1" thickBot="1">
      <c r="B21" s="128"/>
      <c r="C21" s="120"/>
      <c r="D21" s="69"/>
      <c r="E21" s="69"/>
      <c r="F21" s="69"/>
      <c r="G21" s="87"/>
      <c r="H21" s="87"/>
      <c r="I21" s="9"/>
      <c r="J21" s="9"/>
      <c r="K21" s="9"/>
      <c r="L21" s="9"/>
      <c r="M21" s="9"/>
      <c r="N21" s="9"/>
      <c r="O21" s="9"/>
      <c r="P21" s="9"/>
    </row>
    <row r="22" spans="1:16" ht="15.75" thickTop="1">
      <c r="D22"/>
      <c r="E22"/>
      <c r="F22"/>
    </row>
    <row r="23" spans="1:16" s="79" customFormat="1">
      <c r="A23"/>
      <c r="D23" s="163"/>
      <c r="E23" s="157"/>
      <c r="F23" s="157"/>
    </row>
    <row r="24" spans="1:16" s="79" customFormat="1">
      <c r="A24"/>
      <c r="D24" s="163"/>
      <c r="E24" s="157"/>
      <c r="F24" s="157"/>
    </row>
  </sheetData>
  <hyperlinks>
    <hyperlink ref="B1" location="Forside!A1" display="Forside"/>
  </hyperlinks>
  <pageMargins left="0.7" right="0.7" top="0.75" bottom="0.75" header="0.3" footer="0.3"/>
  <pageSetup paperSize="9" scale="59" fitToHeight="0" orientation="portrait" verticalDpi="597"/>
  <headerFooter>
    <oddFooter>&amp;CSide &amp;P av &amp;N</oddFoot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P18"/>
  <sheetViews>
    <sheetView showGridLines="0" zoomScale="70" workbookViewId="0">
      <pane ySplit="11" topLeftCell="A12" activePane="bottomLeft" state="frozen"/>
      <selection activeCell="C29" sqref="C29"/>
      <selection pane="bottomLeft"/>
    </sheetView>
  </sheetViews>
  <sheetFormatPr baseColWidth="10" defaultColWidth="9.140625" defaultRowHeight="15" outlineLevelRow="1"/>
  <cols>
    <col min="1" max="1" width="3.7109375" customWidth="1"/>
    <col min="2" max="2" width="11.42578125" customWidth="1"/>
    <col min="3" max="3" width="35.7109375" customWidth="1"/>
    <col min="4" max="4" width="22.42578125" style="169" customWidth="1"/>
    <col min="5" max="5" width="23.28515625" style="167" customWidth="1"/>
    <col min="6" max="6" width="22" style="167" customWidth="1"/>
    <col min="7" max="7" width="18.28515625" customWidth="1"/>
    <col min="8" max="8" width="1.7109375" customWidth="1"/>
  </cols>
  <sheetData>
    <row r="1" spans="2:16" s="40" customFormat="1" ht="15.6" customHeight="1">
      <c r="B1" s="59" t="s">
        <v>513</v>
      </c>
    </row>
    <row r="2" spans="2:16" s="40" customFormat="1" ht="21" customHeight="1">
      <c r="B2" s="82" t="e">
        <f ca="1">_xll.OneStop.ReportPlayer.OSRFunctions.OSRGet("ThisCompany","CompanyName")</f>
        <v>#NAME?</v>
      </c>
      <c r="D2" s="8"/>
      <c r="F2" s="8"/>
    </row>
    <row r="3" spans="2:16" s="40" customFormat="1" ht="30.6" customHeight="1">
      <c r="B3" s="85" t="s">
        <v>506</v>
      </c>
      <c r="D3" s="8"/>
      <c r="E3" s="8"/>
      <c r="F3" s="8"/>
      <c r="I3" s="8"/>
      <c r="K3" s="8"/>
      <c r="M3" s="8"/>
      <c r="N3" s="8"/>
    </row>
    <row r="4" spans="2:16" s="45" customFormat="1" ht="9.6" customHeight="1"/>
    <row r="5" spans="2:16" s="40" customFormat="1" ht="15.6" customHeight="1">
      <c r="B5" s="83" t="s">
        <v>25</v>
      </c>
      <c r="C5" s="151">
        <f ca="1">TODAY()</f>
        <v>44261</v>
      </c>
      <c r="G5" s="33"/>
      <c r="H5" s="33"/>
      <c r="J5" s="33"/>
      <c r="L5" s="33"/>
      <c r="O5" s="33"/>
    </row>
    <row r="6" spans="2:16" s="45" customFormat="1" ht="6.6" customHeight="1">
      <c r="B6" s="81"/>
      <c r="C6" s="37"/>
      <c r="D6" s="37"/>
      <c r="E6" s="34"/>
      <c r="F6" s="34"/>
      <c r="G6" s="67"/>
      <c r="H6" s="67"/>
    </row>
    <row r="7" spans="2:16" s="45" customFormat="1" ht="18">
      <c r="B7" s="72"/>
      <c r="C7" s="72"/>
      <c r="D7" s="58"/>
      <c r="E7" s="47"/>
      <c r="F7" s="58"/>
      <c r="G7" s="58"/>
      <c r="H7" s="58"/>
    </row>
    <row r="8" spans="2:16" s="45" customFormat="1" ht="18">
      <c r="B8" s="47" t="s">
        <v>203</v>
      </c>
      <c r="C8" s="98" t="s">
        <v>163</v>
      </c>
      <c r="D8" s="98" t="s">
        <v>401</v>
      </c>
      <c r="E8" s="47" t="s">
        <v>507</v>
      </c>
      <c r="F8" s="47" t="s">
        <v>434</v>
      </c>
      <c r="G8" s="25" t="s">
        <v>311</v>
      </c>
      <c r="H8" s="47"/>
    </row>
    <row r="9" spans="2:16" s="45" customFormat="1" ht="6.6" customHeight="1">
      <c r="B9" s="11"/>
      <c r="C9" s="11"/>
      <c r="D9" s="11"/>
      <c r="E9" s="11"/>
      <c r="F9" s="11"/>
      <c r="G9" s="11"/>
      <c r="H9" s="11"/>
    </row>
    <row r="10" spans="2:16" s="45" customFormat="1" ht="2.4500000000000002" customHeight="1">
      <c r="B10" s="54"/>
      <c r="C10" s="54"/>
      <c r="D10" s="21"/>
      <c r="E10" s="21"/>
      <c r="F10" s="21"/>
      <c r="G10" s="21"/>
      <c r="H10" s="21"/>
    </row>
    <row r="11" spans="2:16" s="45" customFormat="1" ht="6.6" customHeight="1">
      <c r="B11" s="56"/>
      <c r="C11" s="56"/>
      <c r="D11" s="17"/>
      <c r="E11" s="17"/>
      <c r="F11" s="17"/>
      <c r="G11" s="17"/>
      <c r="H11" s="17"/>
    </row>
    <row r="12" spans="2:16" s="80" customFormat="1" collapsed="1">
      <c r="B12" s="108" t="e">
        <f ca="1">_xll.OneStop.ReportPlayer.OSRFunctions.OSRGet("CRM_Customer","CustomerId")</f>
        <v>#NAME?</v>
      </c>
      <c r="C12" s="105" t="e">
        <f ca="1">_xll.OneStop.ReportPlayer.OSRFunctions.OSRGet("CRM_Customer","FirstName")&amp;" " &amp;_xll.OneStop.ReportPlayer.OSRFunctions.OSRGet("CRM_Customer","CompanyName")</f>
        <v>#NAME?</v>
      </c>
      <c r="D12" s="44"/>
      <c r="E12" s="44"/>
      <c r="F12" s="44"/>
      <c r="G12" s="88" t="e">
        <f ca="1">SUM(_xll.OneStop.ReportPlayer.OSRFunctions.OSRRef(G13))</f>
        <v>#NAME?</v>
      </c>
      <c r="H12" s="88"/>
      <c r="I12" s="9"/>
      <c r="J12" s="9"/>
      <c r="K12" s="9"/>
      <c r="L12" s="9"/>
      <c r="M12" s="9"/>
      <c r="N12" s="9"/>
      <c r="O12" s="9"/>
      <c r="P12" s="9"/>
    </row>
    <row r="13" spans="2:16" s="80" customFormat="1" hidden="1" outlineLevel="1">
      <c r="B13" s="104"/>
      <c r="C13" s="107" t="e">
        <f ca="1">_xll.OneStop.ReportPlayer.OSRFunctions.OSRGet("TransactionType","Name")</f>
        <v>#NAME?</v>
      </c>
      <c r="D13" s="84" t="e">
        <f ca="1">_xll.OneStop.ReportPlayer.OSRFunctions.OSRGet("Journal_SubEntry_Cust","InvoiceNo")</f>
        <v>#NAME?</v>
      </c>
      <c r="E13" s="68" t="e">
        <f ca="1">_xll.OneStop.ReportPlayer.OSRFunctions.OSRGet("Journal_SubEntry_Cust","SubEntryDate3")</f>
        <v>#NAME?</v>
      </c>
      <c r="F13" s="68" t="e">
        <f ca="1">_xll.OneStop.ReportPlayer.OSRFunctions.OSRGet("Journal_SubEntry_Cust","SubDueDate")</f>
        <v>#NAME?</v>
      </c>
      <c r="G13" s="88" t="e">
        <f ca="1">_xll.OneStop.ReportPlayer.OSRFunctions.OSRGet("Journal_SubEntry_Cust","AmtCur")</f>
        <v>#NAME?</v>
      </c>
      <c r="H13" s="88"/>
      <c r="I13" s="9"/>
      <c r="J13" s="9"/>
      <c r="K13" s="9"/>
      <c r="L13" s="9"/>
      <c r="M13" s="9"/>
      <c r="N13" s="9"/>
      <c r="O13" s="9"/>
      <c r="P13" s="9"/>
    </row>
    <row r="14" spans="2:16" s="106" customFormat="1" ht="9.6" customHeight="1" thickBot="1">
      <c r="G14" s="88"/>
      <c r="H14" s="88"/>
    </row>
    <row r="15" spans="2:16" s="80" customFormat="1" ht="16.5" thickTop="1" thickBot="1">
      <c r="B15" s="128" t="s">
        <v>54</v>
      </c>
      <c r="C15" s="120"/>
      <c r="D15" s="69"/>
      <c r="E15" s="69"/>
      <c r="F15" s="69"/>
      <c r="G15" s="87" t="e">
        <f ca="1">SUM(_xll.OneStop.ReportPlayer.OSRFunctions.OSRRef(G12))</f>
        <v>#NAME?</v>
      </c>
      <c r="H15" s="87"/>
      <c r="I15" s="9"/>
      <c r="J15" s="9"/>
      <c r="K15" s="9"/>
      <c r="L15" s="9"/>
      <c r="M15" s="9"/>
      <c r="N15" s="9"/>
      <c r="O15" s="9"/>
      <c r="P15" s="9"/>
    </row>
    <row r="16" spans="2:16" ht="15.75" thickTop="1">
      <c r="D16"/>
      <c r="E16"/>
      <c r="F16"/>
    </row>
    <row r="17" spans="1:6" s="79" customFormat="1">
      <c r="A17"/>
      <c r="D17" s="163"/>
      <c r="E17" s="157"/>
      <c r="F17" s="157"/>
    </row>
    <row r="18" spans="1:6" s="79" customFormat="1">
      <c r="A18"/>
      <c r="D18" s="163"/>
      <c r="E18" s="157"/>
      <c r="F18" s="157"/>
    </row>
  </sheetData>
  <hyperlinks>
    <hyperlink ref="B1" location="Forside!A1" display="Forside"/>
  </hyperlinks>
  <pageMargins left="0.7" right="0.7" top="0.75" bottom="0.75" header="0.3" footer="0.3"/>
  <pageSetup paperSize="9" scale="59" fitToHeight="0" orientation="portrait" verticalDpi="597"/>
  <headerFooter>
    <oddFooter>&amp;CSide &amp;P av &amp;N</oddFoot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B1:P20"/>
  <sheetViews>
    <sheetView showGridLines="0" zoomScale="70" workbookViewId="0">
      <pane ySplit="11" topLeftCell="A12" activePane="bottomLeft" state="frozen"/>
      <selection activeCell="C29" sqref="C29"/>
      <selection pane="bottomLeft"/>
    </sheetView>
  </sheetViews>
  <sheetFormatPr baseColWidth="10" defaultColWidth="8.85546875" defaultRowHeight="15" outlineLevelRow="1"/>
  <cols>
    <col min="1" max="1" width="3.7109375" customWidth="1"/>
    <col min="2" max="2" width="15" customWidth="1"/>
    <col min="3" max="3" width="28.28515625" customWidth="1"/>
    <col min="4" max="6" width="22.28515625" customWidth="1"/>
    <col min="7" max="7" width="37.28515625" customWidth="1"/>
    <col min="8" max="8" width="19.28515625" customWidth="1"/>
    <col min="9" max="9" width="3" customWidth="1"/>
  </cols>
  <sheetData>
    <row r="1" spans="2:16" s="40" customFormat="1" ht="15.6" customHeight="1">
      <c r="B1" s="59" t="s">
        <v>513</v>
      </c>
    </row>
    <row r="2" spans="2:16" s="40" customFormat="1" ht="21" customHeight="1">
      <c r="B2" s="82" t="s">
        <v>124</v>
      </c>
      <c r="D2" s="8"/>
      <c r="F2" s="8"/>
    </row>
    <row r="3" spans="2:16" s="40" customFormat="1" ht="30.6" customHeight="1">
      <c r="B3" s="85" t="s">
        <v>157</v>
      </c>
      <c r="D3" s="8"/>
      <c r="E3" s="8"/>
      <c r="F3" s="8"/>
      <c r="K3" s="8"/>
      <c r="M3" s="8"/>
      <c r="N3" s="8"/>
    </row>
    <row r="4" spans="2:16" s="45" customFormat="1" ht="9.6" customHeight="1"/>
    <row r="5" spans="2:16" s="40" customFormat="1" ht="15.6" customHeight="1">
      <c r="B5" s="83" t="s">
        <v>25</v>
      </c>
      <c r="C5" s="151">
        <f ca="1">TODAY()</f>
        <v>44261</v>
      </c>
      <c r="G5" s="33"/>
      <c r="H5" s="33"/>
      <c r="I5" s="33"/>
      <c r="J5" s="33"/>
      <c r="L5" s="33"/>
      <c r="O5" s="33"/>
    </row>
    <row r="6" spans="2:16" s="45" customFormat="1" ht="6.6" customHeight="1">
      <c r="B6" s="81"/>
      <c r="C6" s="37"/>
      <c r="D6" s="37"/>
      <c r="E6" s="34"/>
      <c r="F6" s="34"/>
      <c r="G6" s="67"/>
      <c r="H6" s="67"/>
      <c r="I6" s="67"/>
    </row>
    <row r="7" spans="2:16" s="45" customFormat="1" ht="18">
      <c r="B7" s="72"/>
      <c r="C7" s="72"/>
      <c r="D7" s="58"/>
      <c r="E7" s="47"/>
      <c r="F7" s="58"/>
      <c r="G7" s="58"/>
      <c r="H7" s="58"/>
      <c r="I7" s="58"/>
    </row>
    <row r="8" spans="2:16" s="45" customFormat="1" ht="18">
      <c r="B8" s="47" t="s">
        <v>158</v>
      </c>
      <c r="C8" s="98" t="s">
        <v>163</v>
      </c>
      <c r="D8" s="98" t="s">
        <v>401</v>
      </c>
      <c r="E8" s="47" t="s">
        <v>507</v>
      </c>
      <c r="F8" s="47" t="s">
        <v>434</v>
      </c>
      <c r="G8" s="47" t="s">
        <v>159</v>
      </c>
      <c r="H8" s="25" t="s">
        <v>311</v>
      </c>
      <c r="I8" s="47"/>
    </row>
    <row r="9" spans="2:16" s="45" customFormat="1" ht="6.6" customHeight="1">
      <c r="B9" s="11"/>
      <c r="C9" s="11"/>
      <c r="D9" s="99"/>
      <c r="E9" s="99"/>
      <c r="F9" s="99"/>
      <c r="G9" s="99"/>
      <c r="H9" s="149"/>
      <c r="I9" s="149"/>
    </row>
    <row r="10" spans="2:16" s="45" customFormat="1" ht="2.4500000000000002" customHeight="1">
      <c r="B10" s="54"/>
      <c r="C10" s="54"/>
      <c r="D10" s="91"/>
      <c r="E10" s="91"/>
      <c r="F10" s="91"/>
      <c r="G10" s="91"/>
      <c r="H10" s="134"/>
      <c r="I10" s="134"/>
    </row>
    <row r="11" spans="2:16" s="45" customFormat="1" ht="6.6" customHeight="1">
      <c r="B11" s="56"/>
      <c r="C11" s="56"/>
      <c r="D11" s="97"/>
      <c r="E11" s="97"/>
      <c r="F11" s="97"/>
      <c r="G11" s="97"/>
      <c r="H11" s="118"/>
      <c r="I11" s="118"/>
    </row>
    <row r="12" spans="2:16" s="80" customFormat="1" collapsed="1">
      <c r="B12" s="108">
        <v>28</v>
      </c>
      <c r="C12" s="105" t="s">
        <v>283</v>
      </c>
      <c r="D12" s="44"/>
      <c r="E12" s="44"/>
      <c r="F12" s="44"/>
      <c r="G12" s="44"/>
      <c r="H12" s="88">
        <f>SUM(H13)</f>
        <v>919.75</v>
      </c>
      <c r="I12" s="88"/>
      <c r="J12" s="9"/>
      <c r="K12" s="9"/>
      <c r="L12" s="9"/>
      <c r="M12" s="9"/>
      <c r="N12" s="9"/>
      <c r="O12" s="9"/>
      <c r="P12" s="9"/>
    </row>
    <row r="13" spans="2:16" s="80" customFormat="1" hidden="1" outlineLevel="1">
      <c r="B13" s="104"/>
      <c r="C13" s="107"/>
      <c r="D13" s="84"/>
      <c r="E13" s="68">
        <v>42998</v>
      </c>
      <c r="F13" s="68">
        <v>43012</v>
      </c>
      <c r="G13" s="84" t="s">
        <v>413</v>
      </c>
      <c r="H13" s="88">
        <v>919.75</v>
      </c>
      <c r="I13" s="88"/>
      <c r="J13" s="9"/>
      <c r="K13" s="9"/>
      <c r="L13" s="9"/>
      <c r="M13" s="9"/>
      <c r="N13" s="9"/>
      <c r="O13" s="9"/>
      <c r="P13" s="9"/>
    </row>
    <row r="14" spans="2:16" s="106" customFormat="1" ht="9.6" customHeight="1">
      <c r="G14" s="44"/>
      <c r="H14" s="88"/>
      <c r="I14" s="88"/>
    </row>
    <row r="15" spans="2:16" s="80" customFormat="1" collapsed="1">
      <c r="B15" s="108">
        <v>40</v>
      </c>
      <c r="C15" s="105" t="s">
        <v>323</v>
      </c>
      <c r="D15" s="44"/>
      <c r="E15" s="44"/>
      <c r="F15" s="44"/>
      <c r="G15" s="44"/>
      <c r="H15" s="88">
        <f>SUM(H16:H17)</f>
        <v>-9318</v>
      </c>
      <c r="I15" s="88"/>
      <c r="J15" s="9"/>
      <c r="K15" s="9"/>
      <c r="L15" s="9"/>
      <c r="M15" s="9"/>
      <c r="N15" s="9"/>
      <c r="O15" s="9"/>
      <c r="P15" s="9"/>
    </row>
    <row r="16" spans="2:16" s="80" customFormat="1" hidden="1" outlineLevel="1">
      <c r="B16" s="104"/>
      <c r="C16" s="107"/>
      <c r="D16" s="84">
        <v>117073</v>
      </c>
      <c r="E16" s="68">
        <v>44227</v>
      </c>
      <c r="F16" s="68">
        <v>44242</v>
      </c>
      <c r="G16" s="84"/>
      <c r="H16" s="88">
        <v>-374</v>
      </c>
      <c r="I16" s="88"/>
      <c r="J16" s="9"/>
      <c r="K16" s="9"/>
      <c r="L16" s="9"/>
      <c r="M16" s="9"/>
      <c r="N16" s="9"/>
      <c r="O16" s="9"/>
      <c r="P16" s="9"/>
    </row>
    <row r="17" spans="2:16" s="80" customFormat="1" hidden="1" outlineLevel="1">
      <c r="B17" s="104"/>
      <c r="C17" s="107"/>
      <c r="D17" s="84">
        <v>117247</v>
      </c>
      <c r="E17" s="68">
        <v>44227</v>
      </c>
      <c r="F17" s="68">
        <v>44242</v>
      </c>
      <c r="G17" s="84"/>
      <c r="H17" s="88">
        <v>-8944</v>
      </c>
      <c r="I17" s="88"/>
      <c r="J17" s="9"/>
      <c r="K17" s="9"/>
      <c r="L17" s="9"/>
      <c r="M17" s="9"/>
      <c r="N17" s="9"/>
      <c r="O17" s="9"/>
      <c r="P17" s="9"/>
    </row>
    <row r="18" spans="2:16" s="106" customFormat="1" ht="9.6" customHeight="1" thickBot="1">
      <c r="G18" s="44"/>
      <c r="H18" s="88"/>
      <c r="I18" s="88"/>
    </row>
    <row r="19" spans="2:16" s="80" customFormat="1" ht="16.5" thickTop="1" thickBot="1">
      <c r="B19" s="128" t="s">
        <v>54</v>
      </c>
      <c r="C19" s="120"/>
      <c r="D19" s="69"/>
      <c r="E19" s="69"/>
      <c r="F19" s="69"/>
      <c r="G19" s="69"/>
      <c r="H19" s="87">
        <f>SUM(H12,H15)</f>
        <v>-8398.25</v>
      </c>
      <c r="I19" s="87"/>
      <c r="J19" s="9"/>
      <c r="K19" s="9"/>
      <c r="L19" s="9"/>
      <c r="M19" s="9"/>
      <c r="N19" s="9"/>
      <c r="O19" s="9"/>
      <c r="P19" s="9"/>
    </row>
    <row r="20" spans="2:16" ht="15.75" thickTop="1"/>
  </sheetData>
  <hyperlinks>
    <hyperlink ref="B1" location="Forside!A1" display="Forside"/>
  </hyperlinks>
  <pageMargins left="0.7" right="0.7" top="0.75" bottom="0.75" header="0.3" footer="0.3"/>
  <pageSetup paperSize="9" scale="47" fitToHeight="0" orientation="portrait" verticalDpi="597"/>
  <headerFooter>
    <oddFooter>&amp;CSide &amp;P av &amp;N</oddFoot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B1:P16"/>
  <sheetViews>
    <sheetView showGridLines="0" zoomScale="70" workbookViewId="0">
      <pane ySplit="11" topLeftCell="A12" activePane="bottomLeft" state="frozen"/>
      <selection activeCell="C29" sqref="C29"/>
      <selection pane="bottomLeft"/>
    </sheetView>
  </sheetViews>
  <sheetFormatPr baseColWidth="10" defaultColWidth="8.85546875" defaultRowHeight="15" outlineLevelRow="1"/>
  <cols>
    <col min="1" max="1" width="3.7109375" customWidth="1"/>
    <col min="2" max="2" width="15" customWidth="1"/>
    <col min="3" max="3" width="28.28515625" customWidth="1"/>
    <col min="4" max="6" width="22.28515625" customWidth="1"/>
    <col min="7" max="7" width="37.28515625" customWidth="1"/>
    <col min="8" max="8" width="19.28515625" customWidth="1"/>
    <col min="9" max="9" width="3" customWidth="1"/>
  </cols>
  <sheetData>
    <row r="1" spans="2:16" s="40" customFormat="1" ht="15.6" customHeight="1">
      <c r="B1" s="59" t="s">
        <v>513</v>
      </c>
    </row>
    <row r="2" spans="2:16" s="40" customFormat="1" ht="21" customHeight="1">
      <c r="B2" s="82" t="e">
        <f ca="1">_xll.OneStop.ReportPlayer.OSRFunctions.OSRGet("ThisCompany","CompanyName")</f>
        <v>#NAME?</v>
      </c>
      <c r="D2" s="8"/>
      <c r="F2" s="8"/>
    </row>
    <row r="3" spans="2:16" s="40" customFormat="1" ht="30.6" customHeight="1">
      <c r="B3" s="85" t="s">
        <v>157</v>
      </c>
      <c r="D3" s="8"/>
      <c r="E3" s="8"/>
      <c r="F3" s="8"/>
      <c r="K3" s="8"/>
      <c r="M3" s="8"/>
      <c r="N3" s="8"/>
    </row>
    <row r="4" spans="2:16" s="45" customFormat="1" ht="9.6" customHeight="1"/>
    <row r="5" spans="2:16" s="40" customFormat="1" ht="15.6" customHeight="1">
      <c r="B5" s="83" t="s">
        <v>25</v>
      </c>
      <c r="C5" s="151">
        <f ca="1">TODAY()</f>
        <v>44261</v>
      </c>
      <c r="G5" s="33"/>
      <c r="H5" s="33"/>
      <c r="I5" s="33"/>
      <c r="J5" s="33"/>
      <c r="L5" s="33"/>
      <c r="O5" s="33"/>
    </row>
    <row r="6" spans="2:16" s="45" customFormat="1" ht="6.6" customHeight="1">
      <c r="B6" s="81"/>
      <c r="C6" s="37"/>
      <c r="D6" s="37"/>
      <c r="E6" s="34"/>
      <c r="F6" s="34"/>
      <c r="G6" s="67"/>
      <c r="H6" s="67"/>
      <c r="I6" s="67"/>
    </row>
    <row r="7" spans="2:16" s="45" customFormat="1" ht="18">
      <c r="B7" s="72"/>
      <c r="C7" s="72"/>
      <c r="D7" s="58"/>
      <c r="E7" s="47"/>
      <c r="F7" s="58"/>
      <c r="G7" s="58"/>
      <c r="H7" s="58"/>
      <c r="I7" s="58"/>
    </row>
    <row r="8" spans="2:16" s="45" customFormat="1" ht="18">
      <c r="B8" s="47" t="s">
        <v>158</v>
      </c>
      <c r="C8" s="98" t="s">
        <v>163</v>
      </c>
      <c r="D8" s="98" t="s">
        <v>401</v>
      </c>
      <c r="E8" s="47" t="s">
        <v>507</v>
      </c>
      <c r="F8" s="47" t="s">
        <v>434</v>
      </c>
      <c r="G8" s="47" t="s">
        <v>159</v>
      </c>
      <c r="H8" s="25" t="s">
        <v>311</v>
      </c>
      <c r="I8" s="47"/>
    </row>
    <row r="9" spans="2:16" s="45" customFormat="1" ht="6.6" customHeight="1">
      <c r="B9" s="11"/>
      <c r="C9" s="11"/>
      <c r="D9" s="99"/>
      <c r="E9" s="99"/>
      <c r="F9" s="99"/>
      <c r="G9" s="99"/>
      <c r="H9" s="149"/>
      <c r="I9" s="149"/>
    </row>
    <row r="10" spans="2:16" s="45" customFormat="1" ht="2.4500000000000002" customHeight="1">
      <c r="B10" s="54"/>
      <c r="C10" s="54"/>
      <c r="D10" s="91"/>
      <c r="E10" s="91"/>
      <c r="F10" s="91"/>
      <c r="G10" s="91"/>
      <c r="H10" s="134"/>
      <c r="I10" s="134"/>
    </row>
    <row r="11" spans="2:16" s="45" customFormat="1" ht="6.6" customHeight="1">
      <c r="B11" s="56"/>
      <c r="C11" s="56"/>
      <c r="D11" s="97"/>
      <c r="E11" s="97"/>
      <c r="F11" s="97"/>
      <c r="G11" s="97"/>
      <c r="H11" s="118"/>
      <c r="I11" s="118"/>
    </row>
    <row r="12" spans="2:16" s="80" customFormat="1" collapsed="1">
      <c r="B12" s="108" t="e">
        <f ca="1">_xll.OneStop.ReportPlayer.OSRFunctions.OSRGet("CRM_Customer","CustomerNumber")</f>
        <v>#NAME?</v>
      </c>
      <c r="C12" s="105" t="e">
        <f ca="1">_xll.OneStop.ReportPlayer.OSRFunctions.OSRGet("CRM_Customer","CompanyName")</f>
        <v>#NAME?</v>
      </c>
      <c r="D12" s="44"/>
      <c r="E12" s="44"/>
      <c r="F12" s="44"/>
      <c r="G12" s="44"/>
      <c r="H12" s="88" t="e">
        <f ca="1">SUM(_xll.OneStop.ReportPlayer.OSRFunctions.OSRRef(H13))</f>
        <v>#NAME?</v>
      </c>
      <c r="I12" s="88"/>
      <c r="J12" s="9"/>
      <c r="K12" s="9"/>
      <c r="L12" s="9"/>
      <c r="M12" s="9"/>
      <c r="N12" s="9"/>
      <c r="O12" s="9"/>
      <c r="P12" s="9"/>
    </row>
    <row r="13" spans="2:16" s="80" customFormat="1" hidden="1" outlineLevel="1">
      <c r="B13" s="104"/>
      <c r="C13" s="107" t="e">
        <f ca="1">_xll.OneStop.ReportPlayer.OSRFunctions.OSRGet("TransactionType","Name")</f>
        <v>#NAME?</v>
      </c>
      <c r="D13" s="84" t="e">
        <f ca="1">_xll.OneStop.ReportPlayer.OSRFunctions.OSRGet("Journal_SubEntry_Vend","InvoiceNo")</f>
        <v>#NAME?</v>
      </c>
      <c r="E13" s="68" t="e">
        <f ca="1">_xll.OneStop.ReportPlayer.OSRFunctions.OSRGet("Journal_SubEntry_Vend","SubEntryDate3")</f>
        <v>#NAME?</v>
      </c>
      <c r="F13" s="68" t="e">
        <f ca="1">_xll.OneStop.ReportPlayer.OSRFunctions.OSRGet("Journal_SubEntry_Vend","SubDueDate")</f>
        <v>#NAME?</v>
      </c>
      <c r="G13" s="84" t="e">
        <f ca="1">_xll.OneStop.ReportPlayer.OSRFunctions.OSRGet("Journal_SubEntry_Vend","Comment")</f>
        <v>#NAME?</v>
      </c>
      <c r="H13" s="88" t="e">
        <f ca="1">_xll.OneStop.ReportPlayer.OSRFunctions.OSRGet("Journal_SubEntry_Vend","AmtCur")</f>
        <v>#NAME?</v>
      </c>
      <c r="I13" s="88"/>
      <c r="J13" s="9"/>
      <c r="K13" s="9"/>
      <c r="L13" s="9"/>
      <c r="M13" s="9"/>
      <c r="N13" s="9"/>
      <c r="O13" s="9"/>
      <c r="P13" s="9"/>
    </row>
    <row r="14" spans="2:16" s="106" customFormat="1" ht="9.6" customHeight="1" thickBot="1">
      <c r="G14" s="44"/>
      <c r="H14" s="88"/>
      <c r="I14" s="88"/>
    </row>
    <row r="15" spans="2:16" s="80" customFormat="1" ht="16.5" thickTop="1" thickBot="1">
      <c r="B15" s="128" t="s">
        <v>54</v>
      </c>
      <c r="C15" s="120"/>
      <c r="D15" s="69"/>
      <c r="E15" s="69"/>
      <c r="F15" s="69"/>
      <c r="G15" s="69"/>
      <c r="H15" s="87" t="e">
        <f ca="1">SUM(_xll.OneStop.ReportPlayer.OSRFunctions.OSRRef(H12))</f>
        <v>#NAME?</v>
      </c>
      <c r="I15" s="87"/>
      <c r="J15" s="9"/>
      <c r="K15" s="9"/>
      <c r="L15" s="9"/>
      <c r="M15" s="9"/>
      <c r="N15" s="9"/>
      <c r="O15" s="9"/>
      <c r="P15" s="9"/>
    </row>
    <row r="16" spans="2:16" ht="15.75" thickTop="1"/>
  </sheetData>
  <hyperlinks>
    <hyperlink ref="B1" location="Forside!A1" display="Forside"/>
  </hyperlinks>
  <pageMargins left="0.7" right="0.7" top="0.75" bottom="0.75" header="0.3" footer="0.3"/>
  <pageSetup paperSize="9" scale="47" fitToHeight="0" orientation="portrait" verticalDpi="597"/>
  <headerFooter>
    <oddFooter>&amp;CSide &amp;P av &amp;N</oddFoot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C15"/>
  <sheetViews>
    <sheetView workbookViewId="0"/>
  </sheetViews>
  <sheetFormatPr baseColWidth="10" defaultColWidth="9.140625" defaultRowHeight="11.25"/>
  <cols>
    <col min="1" max="3" width="9.140625" style="112"/>
    <col min="4" max="15" width="12.28515625" style="112" customWidth="1"/>
    <col min="16" max="16" width="4.7109375" style="112" customWidth="1"/>
    <col min="17" max="28" width="12.28515625" style="112" customWidth="1"/>
    <col min="29" max="29" width="4.7109375" style="112" customWidth="1"/>
    <col min="30" max="30" width="12.28515625" style="112" customWidth="1"/>
    <col min="31" max="16384" width="9.140625" style="112"/>
  </cols>
  <sheetData>
    <row r="1" spans="1:29">
      <c r="A1" s="112">
        <v>1</v>
      </c>
      <c r="B1" s="112" t="s">
        <v>269</v>
      </c>
      <c r="D1" s="112" t="s">
        <v>436</v>
      </c>
      <c r="E1" s="112" t="s">
        <v>436</v>
      </c>
      <c r="F1" s="112" t="s">
        <v>436</v>
      </c>
      <c r="G1" s="112" t="s">
        <v>436</v>
      </c>
      <c r="H1" s="112" t="s">
        <v>436</v>
      </c>
      <c r="I1" s="112" t="s">
        <v>436</v>
      </c>
      <c r="J1" s="112" t="s">
        <v>436</v>
      </c>
      <c r="K1" s="112" t="s">
        <v>436</v>
      </c>
      <c r="L1" s="112" t="s">
        <v>436</v>
      </c>
      <c r="M1" s="112" t="s">
        <v>436</v>
      </c>
      <c r="N1" s="112" t="s">
        <v>436</v>
      </c>
      <c r="O1" s="112" t="s">
        <v>436</v>
      </c>
      <c r="Q1" s="112" t="s">
        <v>24</v>
      </c>
      <c r="R1" s="112" t="s">
        <v>24</v>
      </c>
      <c r="S1" s="112" t="s">
        <v>24</v>
      </c>
      <c r="T1" s="112" t="s">
        <v>24</v>
      </c>
      <c r="U1" s="112" t="s">
        <v>24</v>
      </c>
      <c r="V1" s="112" t="s">
        <v>24</v>
      </c>
      <c r="W1" s="112" t="s">
        <v>24</v>
      </c>
      <c r="X1" s="112" t="s">
        <v>24</v>
      </c>
      <c r="Y1" s="112" t="s">
        <v>24</v>
      </c>
      <c r="Z1" s="112" t="s">
        <v>24</v>
      </c>
      <c r="AA1" s="112" t="s">
        <v>24</v>
      </c>
      <c r="AB1" s="112" t="s">
        <v>24</v>
      </c>
    </row>
    <row r="2" spans="1:29">
      <c r="A2" s="112">
        <v>2</v>
      </c>
      <c r="B2" s="112" t="s">
        <v>270</v>
      </c>
    </row>
    <row r="3" spans="1:29">
      <c r="A3" s="112">
        <v>3</v>
      </c>
      <c r="B3" s="112" t="s">
        <v>23</v>
      </c>
    </row>
    <row r="4" spans="1:29">
      <c r="A4" s="112">
        <v>4</v>
      </c>
      <c r="B4" s="112" t="s">
        <v>229</v>
      </c>
    </row>
    <row r="5" spans="1:29">
      <c r="A5" s="112">
        <v>5</v>
      </c>
      <c r="B5" s="112" t="s">
        <v>398</v>
      </c>
    </row>
    <row r="6" spans="1:29">
      <c r="A6" s="112">
        <v>6</v>
      </c>
      <c r="B6" s="112" t="s">
        <v>399</v>
      </c>
    </row>
    <row r="7" spans="1:29">
      <c r="A7" s="112">
        <v>7</v>
      </c>
      <c r="B7" s="112" t="s">
        <v>118</v>
      </c>
    </row>
    <row r="8" spans="1:29">
      <c r="A8" s="112">
        <v>8</v>
      </c>
      <c r="B8" s="112" t="s">
        <v>230</v>
      </c>
    </row>
    <row r="9" spans="1:29">
      <c r="A9" s="112">
        <v>9</v>
      </c>
      <c r="B9" s="112" t="s">
        <v>340</v>
      </c>
    </row>
    <row r="10" spans="1:29">
      <c r="A10" s="112">
        <v>10</v>
      </c>
      <c r="B10" s="112" t="s">
        <v>82</v>
      </c>
    </row>
    <row r="11" spans="1:29">
      <c r="A11" s="112">
        <v>11</v>
      </c>
      <c r="B11" s="112" t="s">
        <v>119</v>
      </c>
    </row>
    <row r="12" spans="1:29">
      <c r="A12" s="112">
        <v>12</v>
      </c>
      <c r="B12" s="112" t="s">
        <v>435</v>
      </c>
      <c r="D12" s="112">
        <v>1</v>
      </c>
      <c r="E12" s="112">
        <v>2</v>
      </c>
      <c r="F12" s="112">
        <v>3</v>
      </c>
      <c r="G12" s="112">
        <v>4</v>
      </c>
      <c r="H12" s="112">
        <v>5</v>
      </c>
      <c r="I12" s="112">
        <v>6</v>
      </c>
      <c r="J12" s="112">
        <v>7</v>
      </c>
      <c r="K12" s="112">
        <v>8</v>
      </c>
      <c r="L12" s="112">
        <v>9</v>
      </c>
      <c r="M12" s="112">
        <v>10</v>
      </c>
      <c r="N12" s="112">
        <v>11</v>
      </c>
      <c r="O12" s="112">
        <v>12</v>
      </c>
      <c r="Q12" s="112">
        <v>1</v>
      </c>
      <c r="R12" s="112">
        <v>2</v>
      </c>
      <c r="S12" s="112">
        <v>3</v>
      </c>
      <c r="T12" s="112">
        <v>4</v>
      </c>
      <c r="U12" s="112">
        <v>5</v>
      </c>
      <c r="V12" s="112">
        <v>6</v>
      </c>
      <c r="W12" s="112">
        <v>7</v>
      </c>
      <c r="X12" s="112">
        <v>8</v>
      </c>
      <c r="Y12" s="112">
        <v>9</v>
      </c>
      <c r="Z12" s="112">
        <v>10</v>
      </c>
      <c r="AA12" s="112">
        <v>11</v>
      </c>
      <c r="AB12" s="112">
        <v>12</v>
      </c>
    </row>
    <row r="13" spans="1:29">
      <c r="D13" s="112" t="str">
        <f t="shared" ref="D13:O13" si="0">VLOOKUP(D12,$A$1:$B$12,2,FALSE)</f>
        <v>Jan</v>
      </c>
      <c r="E13" s="112" t="str">
        <f t="shared" si="0"/>
        <v>Feb</v>
      </c>
      <c r="F13" s="112" t="str">
        <f t="shared" si="0"/>
        <v>Mar</v>
      </c>
      <c r="G13" s="112" t="str">
        <f t="shared" si="0"/>
        <v>Apr</v>
      </c>
      <c r="H13" s="112" t="str">
        <f t="shared" si="0"/>
        <v>Mai</v>
      </c>
      <c r="I13" s="112" t="str">
        <f t="shared" si="0"/>
        <v>Jun</v>
      </c>
      <c r="J13" s="112" t="str">
        <f t="shared" si="0"/>
        <v>Jul</v>
      </c>
      <c r="K13" s="112" t="str">
        <f t="shared" si="0"/>
        <v>Aug</v>
      </c>
      <c r="L13" s="112" t="str">
        <f t="shared" si="0"/>
        <v>Sep</v>
      </c>
      <c r="M13" s="112" t="str">
        <f t="shared" si="0"/>
        <v>Okt</v>
      </c>
      <c r="N13" s="112" t="str">
        <f t="shared" si="0"/>
        <v>Nov</v>
      </c>
      <c r="O13" s="112" t="str">
        <f t="shared" si="0"/>
        <v>Des</v>
      </c>
    </row>
    <row r="14" spans="1:29">
      <c r="A14" s="112">
        <v>3203</v>
      </c>
      <c r="B14" s="112" t="s">
        <v>508</v>
      </c>
      <c r="D14" s="38">
        <f>-44062.25*-1</f>
        <v>44062.25</v>
      </c>
      <c r="E14" s="38">
        <f>-12200*-1</f>
        <v>12200</v>
      </c>
      <c r="F14" s="38">
        <f>-4100*-1</f>
        <v>4100</v>
      </c>
      <c r="G14" s="38">
        <f>-51800*-1</f>
        <v>51800</v>
      </c>
      <c r="H14" s="38">
        <f>-175699.56*-1</f>
        <v>175699.56</v>
      </c>
      <c r="I14" s="38">
        <f>-103552.4*-1</f>
        <v>103552.4</v>
      </c>
      <c r="J14" s="38">
        <f>-76480.75*-1</f>
        <v>76480.75</v>
      </c>
      <c r="K14" s="38">
        <f>-77384.8*-1</f>
        <v>77384.800000000003</v>
      </c>
      <c r="L14" s="38">
        <f>-68789.77*-1</f>
        <v>68789.77</v>
      </c>
      <c r="M14" s="38">
        <f>-96030.74*-1</f>
        <v>96030.74</v>
      </c>
      <c r="N14" s="38">
        <f>-1000*-1</f>
        <v>1000</v>
      </c>
      <c r="O14" s="38">
        <f>-27689.6*-1</f>
        <v>27689.599999999999</v>
      </c>
      <c r="P14" s="38"/>
      <c r="Q14" s="38">
        <f>-49199.09*-1</f>
        <v>49199.09</v>
      </c>
      <c r="R14" s="38">
        <f>-13390*-1</f>
        <v>13390</v>
      </c>
      <c r="S14" s="38">
        <f>-24185*-1</f>
        <v>24185</v>
      </c>
      <c r="T14" s="38">
        <f>-33990*-1</f>
        <v>33990</v>
      </c>
      <c r="U14" s="38">
        <f>-236211.85*-1</f>
        <v>236211.85</v>
      </c>
      <c r="V14" s="38">
        <f>-42565.8*-1</f>
        <v>42565.8</v>
      </c>
      <c r="W14" s="38">
        <f>-49969*-1</f>
        <v>49969</v>
      </c>
      <c r="X14" s="38">
        <f>-29829.6*-1</f>
        <v>29829.599999999999</v>
      </c>
      <c r="Y14" s="38">
        <f>-30999*-1</f>
        <v>30999</v>
      </c>
      <c r="Z14" s="38">
        <f>-12996.21*-1</f>
        <v>12996.21</v>
      </c>
      <c r="AA14" s="38">
        <f>-3820.12*-1</f>
        <v>3820.12</v>
      </c>
      <c r="AB14" s="38">
        <f>-47434*-1</f>
        <v>47434</v>
      </c>
      <c r="AC14" s="38"/>
    </row>
    <row r="15" spans="1:29">
      <c r="D15" s="71">
        <f t="shared" ref="D15:O15" si="1">+Q14</f>
        <v>49199.09</v>
      </c>
      <c r="E15" s="71">
        <f t="shared" si="1"/>
        <v>13390</v>
      </c>
      <c r="F15" s="71">
        <f t="shared" si="1"/>
        <v>24185</v>
      </c>
      <c r="G15" s="71">
        <f t="shared" si="1"/>
        <v>33990</v>
      </c>
      <c r="H15" s="71">
        <f t="shared" si="1"/>
        <v>236211.85</v>
      </c>
      <c r="I15" s="71">
        <f t="shared" si="1"/>
        <v>42565.8</v>
      </c>
      <c r="J15" s="71">
        <f t="shared" si="1"/>
        <v>49969</v>
      </c>
      <c r="K15" s="71">
        <f t="shared" si="1"/>
        <v>29829.599999999999</v>
      </c>
      <c r="L15" s="71">
        <f t="shared" si="1"/>
        <v>30999</v>
      </c>
      <c r="M15" s="71">
        <f t="shared" si="1"/>
        <v>12996.21</v>
      </c>
      <c r="N15" s="71">
        <f t="shared" si="1"/>
        <v>3820.12</v>
      </c>
      <c r="O15" s="71">
        <f t="shared" si="1"/>
        <v>47434</v>
      </c>
    </row>
  </sheetData>
  <pageMargins left="0.7" right="0.7" top="0.75" bottom="0.75" header="0.3" footer="0.3"/>
  <pageSetup orientation="portrait" verticalDpi="597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G15"/>
  <sheetViews>
    <sheetView workbookViewId="0"/>
  </sheetViews>
  <sheetFormatPr baseColWidth="10" defaultColWidth="9.140625" defaultRowHeight="11.25"/>
  <cols>
    <col min="1" max="3" width="9.140625" style="112"/>
    <col min="4" max="4" width="12.28515625" style="112" customWidth="1"/>
    <col min="5" max="5" width="4.7109375" style="112" customWidth="1"/>
    <col min="6" max="6" width="12.28515625" style="112" customWidth="1"/>
    <col min="7" max="7" width="4.7109375" style="112" customWidth="1"/>
    <col min="8" max="8" width="12.28515625" style="112" customWidth="1"/>
    <col min="9" max="16384" width="9.140625" style="112"/>
  </cols>
  <sheetData>
    <row r="1" spans="1:7">
      <c r="A1" s="112">
        <v>1</v>
      </c>
      <c r="B1" s="112" t="s">
        <v>269</v>
      </c>
      <c r="D1" s="112" t="s">
        <v>436</v>
      </c>
      <c r="F1" s="112" t="s">
        <v>24</v>
      </c>
    </row>
    <row r="2" spans="1:7">
      <c r="A2" s="112">
        <v>2</v>
      </c>
      <c r="B2" s="112" t="s">
        <v>270</v>
      </c>
    </row>
    <row r="3" spans="1:7">
      <c r="A3" s="112">
        <v>3</v>
      </c>
      <c r="B3" s="112" t="s">
        <v>23</v>
      </c>
    </row>
    <row r="4" spans="1:7">
      <c r="A4" s="112">
        <v>4</v>
      </c>
      <c r="B4" s="112" t="s">
        <v>229</v>
      </c>
    </row>
    <row r="5" spans="1:7">
      <c r="A5" s="112">
        <v>5</v>
      </c>
      <c r="B5" s="112" t="s">
        <v>398</v>
      </c>
    </row>
    <row r="6" spans="1:7">
      <c r="A6" s="112">
        <v>6</v>
      </c>
      <c r="B6" s="112" t="s">
        <v>399</v>
      </c>
    </row>
    <row r="7" spans="1:7">
      <c r="A7" s="112">
        <v>7</v>
      </c>
      <c r="B7" s="112" t="s">
        <v>118</v>
      </c>
    </row>
    <row r="8" spans="1:7">
      <c r="A8" s="112">
        <v>8</v>
      </c>
      <c r="B8" s="112" t="s">
        <v>230</v>
      </c>
    </row>
    <row r="9" spans="1:7">
      <c r="A9" s="112">
        <v>9</v>
      </c>
      <c r="B9" s="112" t="s">
        <v>340</v>
      </c>
    </row>
    <row r="10" spans="1:7">
      <c r="A10" s="112">
        <v>10</v>
      </c>
      <c r="B10" s="112" t="s">
        <v>82</v>
      </c>
    </row>
    <row r="11" spans="1:7">
      <c r="A11" s="112">
        <v>11</v>
      </c>
      <c r="B11" s="112" t="s">
        <v>119</v>
      </c>
    </row>
    <row r="12" spans="1:7">
      <c r="A12" s="112">
        <v>12</v>
      </c>
      <c r="B12" s="112" t="s">
        <v>435</v>
      </c>
      <c r="D12" s="112" t="e">
        <f ca="1">_xll.OneStop.ReportPlayer.OSRFunctions.OSRGet("Period","PeriodInYear")</f>
        <v>#NAME?</v>
      </c>
      <c r="F12" s="112" t="e">
        <f ca="1">_xll.OneStop.ReportPlayer.OSRFunctions.OSRGet("Period","PeriodInYear")</f>
        <v>#NAME?</v>
      </c>
    </row>
    <row r="13" spans="1:7">
      <c r="D13" s="112" t="e">
        <f ca="1">VLOOKUP(D12,$A$1:$B$12,2,FALSE)</f>
        <v>#NAME?</v>
      </c>
    </row>
    <row r="14" spans="1:7">
      <c r="A14" s="112" t="e">
        <f ca="1">_xll.OneStop.ReportPlayer.OSRFunctions.OSRGet("Journal_Account","AccountNo")</f>
        <v>#NAME?</v>
      </c>
      <c r="B14" s="112" t="s">
        <v>508</v>
      </c>
      <c r="D14" s="38" t="e">
        <f ca="1">_xll.OneStop.ReportPlayer.OSRFunctions.OSRGet("Journal_SubEntry","AmtCur")*-1</f>
        <v>#NAME?</v>
      </c>
      <c r="E14" s="38"/>
      <c r="F14" s="38" t="e">
        <f ca="1">_xll.OneStop.ReportPlayer.OSRFunctions.OSRGet("Journal_SubEntry","AmtCur")*-1</f>
        <v>#NAME?</v>
      </c>
      <c r="G14" s="38"/>
    </row>
    <row r="15" spans="1:7">
      <c r="D15" s="71" t="e">
        <f ca="1">+F14</f>
        <v>#NAME?</v>
      </c>
    </row>
  </sheetData>
  <pageMargins left="0.7" right="0.7" top="0.75" bottom="0.75" header="0.3" footer="0.3"/>
  <pageSetup orientation="portrait" verticalDpi="597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3"/>
  <sheetViews>
    <sheetView workbookViewId="0"/>
  </sheetViews>
  <sheetFormatPr baseColWidth="10" defaultColWidth="9.140625" defaultRowHeight="15"/>
  <cols>
    <col min="1" max="130" width="20.7109375" customWidth="1"/>
  </cols>
  <sheetData>
    <row r="1" spans="1:130">
      <c r="B1">
        <v>4</v>
      </c>
    </row>
    <row r="3" spans="1:130" ht="30">
      <c r="A3" s="2" t="s">
        <v>305</v>
      </c>
      <c r="B3" s="2" t="s">
        <v>337</v>
      </c>
      <c r="C3" s="2" t="s">
        <v>416</v>
      </c>
      <c r="D3" s="2" t="s">
        <v>148</v>
      </c>
      <c r="E3" s="2" t="s">
        <v>265</v>
      </c>
      <c r="F3" s="2" t="s">
        <v>2</v>
      </c>
      <c r="G3" s="2" t="s">
        <v>306</v>
      </c>
      <c r="H3" s="2" t="s">
        <v>79</v>
      </c>
      <c r="I3" s="2" t="s">
        <v>149</v>
      </c>
      <c r="J3" s="2" t="s">
        <v>365</v>
      </c>
      <c r="K3" s="2" t="s">
        <v>227</v>
      </c>
      <c r="L3" s="2" t="s">
        <v>366</v>
      </c>
      <c r="M3" s="2" t="s">
        <v>113</v>
      </c>
      <c r="N3" s="2" t="s">
        <v>114</v>
      </c>
      <c r="O3" s="2" t="s">
        <v>307</v>
      </c>
      <c r="P3" s="2" t="s">
        <v>338</v>
      </c>
      <c r="Q3" s="2" t="s">
        <v>19</v>
      </c>
      <c r="R3" s="2" t="s">
        <v>20</v>
      </c>
      <c r="S3" s="2" t="s">
        <v>80</v>
      </c>
      <c r="T3" s="2" t="s">
        <v>367</v>
      </c>
      <c r="U3" s="2" t="s">
        <v>468</v>
      </c>
      <c r="V3" s="2" t="s">
        <v>501</v>
      </c>
      <c r="W3" s="2" t="s">
        <v>308</v>
      </c>
      <c r="X3" s="2" t="s">
        <v>469</v>
      </c>
      <c r="Y3" s="2" t="s">
        <v>151</v>
      </c>
      <c r="Z3" s="2" t="s">
        <v>431</v>
      </c>
      <c r="AA3" s="2" t="s">
        <v>266</v>
      </c>
      <c r="AB3" s="2" t="s">
        <v>470</v>
      </c>
      <c r="AC3" s="2" t="s">
        <v>21</v>
      </c>
      <c r="AD3" s="2" t="s">
        <v>152</v>
      </c>
      <c r="AE3" s="2" t="s">
        <v>267</v>
      </c>
      <c r="AF3" s="2" t="s">
        <v>153</v>
      </c>
      <c r="AG3" s="2" t="s">
        <v>339</v>
      </c>
      <c r="AH3" s="2" t="s">
        <v>53</v>
      </c>
      <c r="AI3" s="2" t="s">
        <v>471</v>
      </c>
      <c r="AJ3" s="2" t="s">
        <v>472</v>
      </c>
      <c r="AK3" s="2" t="s">
        <v>115</v>
      </c>
      <c r="AL3" s="2" t="s">
        <v>432</v>
      </c>
      <c r="AM3" s="2" t="s">
        <v>433</v>
      </c>
      <c r="AN3" s="2" t="s">
        <v>394</v>
      </c>
      <c r="AO3" s="2" t="s">
        <v>536</v>
      </c>
      <c r="AP3" s="2" t="s">
        <v>537</v>
      </c>
      <c r="AQ3" s="2" t="s">
        <v>197</v>
      </c>
      <c r="AR3" s="2" t="s">
        <v>309</v>
      </c>
      <c r="AS3" s="2" t="s">
        <v>395</v>
      </c>
      <c r="AT3" s="2" t="s">
        <v>473</v>
      </c>
      <c r="AU3" s="2" t="s">
        <v>368</v>
      </c>
      <c r="AV3" s="2" t="s">
        <v>196</v>
      </c>
      <c r="AW3" s="2" t="s">
        <v>150</v>
      </c>
      <c r="AX3" s="2" t="s">
        <v>502</v>
      </c>
      <c r="AY3" s="2" t="s">
        <v>22</v>
      </c>
      <c r="AZ3" s="2" t="s">
        <v>503</v>
      </c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L3"/>
  <sheetViews>
    <sheetView workbookViewId="0"/>
  </sheetViews>
  <sheetFormatPr baseColWidth="10" defaultColWidth="9.140625" defaultRowHeight="15"/>
  <cols>
    <col min="1" max="220" width="20.7109375" customWidth="1"/>
    <col min="221" max="221" width="20.7109375" style="184" customWidth="1"/>
  </cols>
  <sheetData>
    <row r="1" spans="1:272">
      <c r="D1">
        <v>4</v>
      </c>
    </row>
    <row r="2" spans="1:272">
      <c r="JK2">
        <v>271</v>
      </c>
      <c r="JL2">
        <v>4</v>
      </c>
    </row>
    <row r="3" spans="1:272" ht="30">
      <c r="A3" s="2" t="s">
        <v>416</v>
      </c>
      <c r="B3" s="2" t="s">
        <v>521</v>
      </c>
      <c r="C3" s="2" t="s">
        <v>2</v>
      </c>
      <c r="D3" s="2" t="s">
        <v>96</v>
      </c>
      <c r="E3" s="2" t="s">
        <v>131</v>
      </c>
      <c r="F3" s="2" t="s">
        <v>39</v>
      </c>
      <c r="G3" s="2" t="s">
        <v>218</v>
      </c>
      <c r="H3" s="2" t="s">
        <v>288</v>
      </c>
      <c r="I3" s="2" t="s">
        <v>183</v>
      </c>
      <c r="J3" s="2" t="s">
        <v>417</v>
      </c>
      <c r="K3" s="2" t="s">
        <v>219</v>
      </c>
      <c r="L3" s="2" t="s">
        <v>40</v>
      </c>
      <c r="M3" s="2" t="s">
        <v>97</v>
      </c>
      <c r="N3" s="2" t="s">
        <v>67</v>
      </c>
      <c r="O3" s="2" t="s">
        <v>98</v>
      </c>
      <c r="P3" s="2" t="s">
        <v>289</v>
      </c>
      <c r="Q3" s="2" t="s">
        <v>41</v>
      </c>
      <c r="R3" s="2" t="s">
        <v>326</v>
      </c>
      <c r="S3" s="2" t="s">
        <v>327</v>
      </c>
      <c r="T3" s="2" t="s">
        <v>352</v>
      </c>
      <c r="U3" s="2" t="s">
        <v>42</v>
      </c>
      <c r="V3" s="2" t="s">
        <v>418</v>
      </c>
      <c r="W3" s="2" t="s">
        <v>456</v>
      </c>
      <c r="X3" s="2" t="s">
        <v>353</v>
      </c>
      <c r="Y3" s="2" t="s">
        <v>328</v>
      </c>
      <c r="Z3" s="2" t="s">
        <v>3</v>
      </c>
      <c r="AA3" s="2" t="s">
        <v>491</v>
      </c>
      <c r="AB3" s="2" t="s">
        <v>220</v>
      </c>
      <c r="AC3" s="2" t="s">
        <v>184</v>
      </c>
      <c r="AD3" s="2" t="s">
        <v>68</v>
      </c>
      <c r="AE3" s="2" t="s">
        <v>133</v>
      </c>
      <c r="AF3" s="2" t="s">
        <v>69</v>
      </c>
      <c r="AG3" s="2" t="s">
        <v>379</v>
      </c>
      <c r="AH3" s="2" t="s">
        <v>290</v>
      </c>
      <c r="AI3" s="2" t="s">
        <v>354</v>
      </c>
      <c r="AJ3" s="2" t="s">
        <v>99</v>
      </c>
      <c r="AK3" s="2" t="s">
        <v>221</v>
      </c>
      <c r="AL3" s="2" t="s">
        <v>522</v>
      </c>
      <c r="AM3" s="2" t="s">
        <v>355</v>
      </c>
      <c r="AN3" s="2" t="s">
        <v>100</v>
      </c>
      <c r="AO3" s="2" t="s">
        <v>43</v>
      </c>
      <c r="AP3" s="2" t="s">
        <v>356</v>
      </c>
      <c r="AQ3" s="2" t="s">
        <v>101</v>
      </c>
      <c r="AR3" s="2" t="s">
        <v>457</v>
      </c>
      <c r="AS3" s="2" t="s">
        <v>380</v>
      </c>
      <c r="AT3" s="2" t="s">
        <v>5</v>
      </c>
      <c r="AU3" s="2" t="s">
        <v>492</v>
      </c>
      <c r="AV3" s="2" t="s">
        <v>249</v>
      </c>
      <c r="AW3" s="2" t="s">
        <v>6</v>
      </c>
      <c r="AX3" s="2" t="s">
        <v>134</v>
      </c>
      <c r="AY3" s="2" t="s">
        <v>523</v>
      </c>
      <c r="AZ3" s="2" t="s">
        <v>102</v>
      </c>
      <c r="BA3" s="2" t="s">
        <v>381</v>
      </c>
      <c r="BB3" s="2" t="s">
        <v>103</v>
      </c>
      <c r="BC3" s="2" t="s">
        <v>420</v>
      </c>
      <c r="BD3" s="2" t="s">
        <v>493</v>
      </c>
      <c r="BE3" s="2" t="s">
        <v>250</v>
      </c>
      <c r="BF3" s="2" t="s">
        <v>524</v>
      </c>
      <c r="BG3" s="2" t="s">
        <v>185</v>
      </c>
      <c r="BH3" s="2" t="s">
        <v>186</v>
      </c>
      <c r="BI3" s="2" t="s">
        <v>421</v>
      </c>
      <c r="BJ3" s="2" t="s">
        <v>382</v>
      </c>
      <c r="BK3" s="2" t="s">
        <v>104</v>
      </c>
      <c r="BL3" s="2" t="s">
        <v>291</v>
      </c>
      <c r="BM3" s="2" t="s">
        <v>494</v>
      </c>
      <c r="BN3" s="2" t="s">
        <v>383</v>
      </c>
      <c r="BO3" s="2" t="s">
        <v>525</v>
      </c>
      <c r="BP3" s="2" t="s">
        <v>251</v>
      </c>
      <c r="BQ3" s="2" t="s">
        <v>384</v>
      </c>
      <c r="BR3" s="2" t="s">
        <v>222</v>
      </c>
      <c r="BS3" s="2" t="s">
        <v>357</v>
      </c>
      <c r="BT3" s="2" t="s">
        <v>105</v>
      </c>
      <c r="BU3" s="2" t="s">
        <v>385</v>
      </c>
      <c r="BV3" s="2" t="s">
        <v>458</v>
      </c>
      <c r="BW3" s="2" t="s">
        <v>526</v>
      </c>
      <c r="BX3" s="2" t="s">
        <v>292</v>
      </c>
      <c r="BY3" s="2" t="s">
        <v>495</v>
      </c>
      <c r="BZ3" s="2" t="s">
        <v>252</v>
      </c>
      <c r="CA3" s="2" t="s">
        <v>7</v>
      </c>
      <c r="CB3" s="2" t="s">
        <v>187</v>
      </c>
      <c r="CC3" s="2" t="s">
        <v>358</v>
      </c>
      <c r="CD3" s="2" t="s">
        <v>70</v>
      </c>
      <c r="CE3" s="2" t="s">
        <v>386</v>
      </c>
      <c r="CF3" s="2" t="s">
        <v>71</v>
      </c>
      <c r="CG3" s="2" t="s">
        <v>496</v>
      </c>
      <c r="CH3" s="2" t="s">
        <v>329</v>
      </c>
      <c r="CI3" s="2" t="s">
        <v>223</v>
      </c>
      <c r="CJ3" s="2" t="s">
        <v>527</v>
      </c>
      <c r="CK3" s="2" t="s">
        <v>188</v>
      </c>
      <c r="CL3" s="2" t="s">
        <v>253</v>
      </c>
      <c r="CM3" s="2" t="s">
        <v>254</v>
      </c>
      <c r="CN3" s="2" t="s">
        <v>359</v>
      </c>
      <c r="CO3" s="2" t="s">
        <v>135</v>
      </c>
      <c r="CP3" s="2" t="s">
        <v>293</v>
      </c>
      <c r="CQ3" s="2" t="s">
        <v>528</v>
      </c>
      <c r="CR3" s="2" t="s">
        <v>224</v>
      </c>
      <c r="CS3" s="2" t="s">
        <v>497</v>
      </c>
      <c r="CT3" s="2" t="s">
        <v>294</v>
      </c>
      <c r="CU3" s="2" t="s">
        <v>387</v>
      </c>
      <c r="CV3" s="2" t="s">
        <v>295</v>
      </c>
      <c r="CW3" s="2" t="s">
        <v>189</v>
      </c>
      <c r="CX3" s="2" t="s">
        <v>72</v>
      </c>
      <c r="CY3" s="2" t="s">
        <v>422</v>
      </c>
      <c r="CZ3" s="2" t="s">
        <v>459</v>
      </c>
      <c r="DA3" s="2" t="s">
        <v>8</v>
      </c>
      <c r="DB3" s="2" t="s">
        <v>136</v>
      </c>
      <c r="DC3" s="2" t="s">
        <v>255</v>
      </c>
      <c r="DD3" s="2" t="s">
        <v>9</v>
      </c>
      <c r="DE3" s="2" t="s">
        <v>10</v>
      </c>
      <c r="DF3" s="2" t="s">
        <v>330</v>
      </c>
      <c r="DG3" s="2" t="s">
        <v>73</v>
      </c>
      <c r="DH3" s="2" t="s">
        <v>388</v>
      </c>
      <c r="DI3" s="2" t="s">
        <v>137</v>
      </c>
      <c r="DJ3" s="2" t="s">
        <v>106</v>
      </c>
      <c r="DK3" s="2" t="s">
        <v>44</v>
      </c>
      <c r="DL3" s="2" t="s">
        <v>45</v>
      </c>
      <c r="DM3" s="2" t="s">
        <v>529</v>
      </c>
      <c r="DN3" s="2" t="s">
        <v>296</v>
      </c>
      <c r="DO3" s="2" t="s">
        <v>225</v>
      </c>
      <c r="DP3" s="2" t="s">
        <v>360</v>
      </c>
      <c r="DQ3" s="2" t="s">
        <v>11</v>
      </c>
      <c r="DR3" s="2" t="s">
        <v>107</v>
      </c>
      <c r="DS3" s="2" t="s">
        <v>423</v>
      </c>
      <c r="DT3" s="2" t="s">
        <v>297</v>
      </c>
      <c r="DU3" s="2" t="s">
        <v>108</v>
      </c>
      <c r="DV3" s="2" t="s">
        <v>530</v>
      </c>
      <c r="DW3" s="2" t="s">
        <v>298</v>
      </c>
      <c r="DX3" s="2" t="s">
        <v>256</v>
      </c>
      <c r="DY3" s="2" t="s">
        <v>46</v>
      </c>
      <c r="DZ3" s="2" t="s">
        <v>47</v>
      </c>
      <c r="EA3" s="2" t="s">
        <v>74</v>
      </c>
      <c r="EB3" s="2" t="s">
        <v>424</v>
      </c>
      <c r="EC3" s="2" t="s">
        <v>389</v>
      </c>
      <c r="ED3" s="2" t="s">
        <v>138</v>
      </c>
      <c r="EE3" s="2" t="s">
        <v>331</v>
      </c>
      <c r="EF3" s="2" t="s">
        <v>48</v>
      </c>
      <c r="EG3" s="2" t="s">
        <v>12</v>
      </c>
      <c r="EH3" s="2" t="s">
        <v>531</v>
      </c>
      <c r="EI3" s="2" t="s">
        <v>257</v>
      </c>
      <c r="EJ3" s="2" t="s">
        <v>75</v>
      </c>
      <c r="EK3" s="2" t="s">
        <v>13</v>
      </c>
      <c r="EL3" s="2" t="s">
        <v>139</v>
      </c>
      <c r="EM3" s="2" t="s">
        <v>109</v>
      </c>
      <c r="EN3" s="2" t="s">
        <v>361</v>
      </c>
      <c r="EO3" s="2" t="s">
        <v>390</v>
      </c>
      <c r="EP3" s="2" t="s">
        <v>498</v>
      </c>
      <c r="EQ3" s="2" t="s">
        <v>299</v>
      </c>
      <c r="ER3" s="2" t="s">
        <v>258</v>
      </c>
      <c r="ES3" s="2" t="s">
        <v>425</v>
      </c>
      <c r="ET3" s="2" t="s">
        <v>110</v>
      </c>
      <c r="EU3" s="2" t="s">
        <v>460</v>
      </c>
      <c r="EV3" s="2" t="s">
        <v>461</v>
      </c>
      <c r="EW3" s="2" t="s">
        <v>391</v>
      </c>
      <c r="EX3" s="2" t="s">
        <v>532</v>
      </c>
      <c r="EY3" s="2" t="s">
        <v>426</v>
      </c>
      <c r="EZ3" s="2" t="s">
        <v>427</v>
      </c>
      <c r="FA3" s="2" t="s">
        <v>49</v>
      </c>
      <c r="FB3" s="2" t="s">
        <v>533</v>
      </c>
      <c r="FC3" s="2" t="s">
        <v>76</v>
      </c>
      <c r="FD3" s="2" t="s">
        <v>140</v>
      </c>
      <c r="FE3" s="2" t="s">
        <v>392</v>
      </c>
      <c r="FF3" s="2" t="s">
        <v>190</v>
      </c>
      <c r="FG3" s="2" t="s">
        <v>141</v>
      </c>
      <c r="FH3" s="2" t="s">
        <v>142</v>
      </c>
      <c r="FI3" s="2" t="s">
        <v>462</v>
      </c>
      <c r="FJ3" s="2" t="s">
        <v>332</v>
      </c>
      <c r="FK3" s="2" t="s">
        <v>333</v>
      </c>
      <c r="FL3" s="2" t="s">
        <v>300</v>
      </c>
      <c r="FM3" s="2" t="s">
        <v>259</v>
      </c>
      <c r="FN3" s="2" t="s">
        <v>191</v>
      </c>
      <c r="FO3" s="2" t="s">
        <v>301</v>
      </c>
      <c r="FP3" s="2" t="s">
        <v>463</v>
      </c>
      <c r="FQ3" s="2" t="s">
        <v>428</v>
      </c>
      <c r="FR3" s="2" t="s">
        <v>362</v>
      </c>
      <c r="FS3" s="2" t="s">
        <v>499</v>
      </c>
      <c r="FT3" s="2" t="s">
        <v>260</v>
      </c>
      <c r="FU3" s="2" t="s">
        <v>14</v>
      </c>
      <c r="FV3" s="2" t="s">
        <v>334</v>
      </c>
      <c r="FW3" s="2" t="s">
        <v>143</v>
      </c>
      <c r="FX3" s="2" t="s">
        <v>261</v>
      </c>
      <c r="FY3" s="2" t="s">
        <v>302</v>
      </c>
      <c r="FZ3" s="2" t="s">
        <v>144</v>
      </c>
      <c r="GA3" s="2" t="s">
        <v>464</v>
      </c>
      <c r="GB3" s="2" t="s">
        <v>50</v>
      </c>
      <c r="GC3" s="2" t="s">
        <v>51</v>
      </c>
      <c r="GD3" s="2" t="s">
        <v>500</v>
      </c>
      <c r="GE3" s="2" t="s">
        <v>192</v>
      </c>
      <c r="GF3" s="2" t="s">
        <v>393</v>
      </c>
      <c r="GG3" s="2" t="s">
        <v>335</v>
      </c>
      <c r="GH3" s="2" t="s">
        <v>336</v>
      </c>
      <c r="GI3" s="2" t="s">
        <v>465</v>
      </c>
      <c r="GJ3" s="2" t="s">
        <v>226</v>
      </c>
      <c r="GK3" s="2" t="s">
        <v>52</v>
      </c>
      <c r="GL3" s="2" t="s">
        <v>111</v>
      </c>
      <c r="GM3" s="2" t="s">
        <v>193</v>
      </c>
      <c r="GN3" s="2" t="s">
        <v>15</v>
      </c>
      <c r="GO3" s="2" t="s">
        <v>534</v>
      </c>
      <c r="GP3" s="2" t="s">
        <v>363</v>
      </c>
      <c r="GQ3" s="2" t="s">
        <v>112</v>
      </c>
      <c r="GR3" s="2" t="s">
        <v>303</v>
      </c>
      <c r="GS3" s="2" t="s">
        <v>262</v>
      </c>
      <c r="GT3" s="2" t="s">
        <v>194</v>
      </c>
      <c r="GU3" s="2" t="s">
        <v>429</v>
      </c>
      <c r="GV3" s="2" t="s">
        <v>77</v>
      </c>
      <c r="GW3" s="2" t="s">
        <v>16</v>
      </c>
      <c r="GX3" s="2" t="s">
        <v>535</v>
      </c>
      <c r="GY3" s="2" t="s">
        <v>145</v>
      </c>
      <c r="GZ3" s="2" t="s">
        <v>466</v>
      </c>
      <c r="HA3" s="2" t="s">
        <v>304</v>
      </c>
      <c r="HB3" s="2" t="s">
        <v>364</v>
      </c>
      <c r="HC3" s="2" t="s">
        <v>430</v>
      </c>
      <c r="HD3" s="2" t="s">
        <v>263</v>
      </c>
      <c r="HE3" s="2" t="s">
        <v>17</v>
      </c>
      <c r="HF3" s="2" t="s">
        <v>146</v>
      </c>
      <c r="HG3" s="2" t="s">
        <v>147</v>
      </c>
      <c r="HH3" s="2" t="s">
        <v>78</v>
      </c>
      <c r="HI3" s="2" t="s">
        <v>195</v>
      </c>
      <c r="HJ3" s="2" t="s">
        <v>467</v>
      </c>
      <c r="HK3" s="2" t="s">
        <v>132</v>
      </c>
      <c r="HL3" s="2" t="s">
        <v>4</v>
      </c>
      <c r="HM3" s="185" t="s">
        <v>419</v>
      </c>
      <c r="JK3" s="2" t="s">
        <v>18</v>
      </c>
      <c r="JL3" s="2" t="s">
        <v>264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9"/>
  <sheetViews>
    <sheetView showGridLines="0" zoomScale="130" workbookViewId="0"/>
  </sheetViews>
  <sheetFormatPr baseColWidth="10" defaultColWidth="8.85546875" defaultRowHeight="23.25"/>
  <cols>
    <col min="1" max="3" width="8.85546875" style="150"/>
    <col min="4" max="4" width="44.85546875" style="150" customWidth="1"/>
    <col min="5" max="16384" width="8.85546875" style="150"/>
  </cols>
  <sheetData>
    <row r="3" spans="2:7" ht="33.75">
      <c r="B3" s="179" t="s">
        <v>271</v>
      </c>
    </row>
    <row r="4" spans="2:7" ht="33.75">
      <c r="B4" s="170" t="s">
        <v>313</v>
      </c>
    </row>
    <row r="6" spans="2:7" s="173" customFormat="1" ht="38.450000000000003" customHeight="1">
      <c r="B6" s="177" t="s">
        <v>402</v>
      </c>
      <c r="D6" s="173" t="e">
        <f ca="1">_xll.OneStop.ReportPlayer.OSRFunctions.OSRGet("ThisCompany","CompanyName")</f>
        <v>#NAME?</v>
      </c>
    </row>
    <row r="7" spans="2:7" s="173" customFormat="1" ht="38.450000000000003" customHeight="1">
      <c r="B7" s="177" t="s">
        <v>478</v>
      </c>
      <c r="D7" s="186" t="e">
        <f ca="1">_xll.OneStop.ReportPlayer.OSRFunctions.OSRGet("Period","PeriodStart")</f>
        <v>#NAME?</v>
      </c>
      <c r="E7" s="186"/>
      <c r="F7" s="186"/>
      <c r="G7" s="171"/>
    </row>
    <row r="19" spans="3:3">
      <c r="C19" s="164" t="s">
        <v>165</v>
      </c>
    </row>
  </sheetData>
  <mergeCells count="1">
    <mergeCell ref="D7:F7"/>
  </mergeCells>
  <pageMargins left="0.7" right="0.7" top="0.75" bottom="0.75" header="0.3" footer="0.3"/>
  <pageSetup paperSize="9" orientation="portrait" verticalDpi="59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42"/>
  <sheetViews>
    <sheetView workbookViewId="0"/>
  </sheetViews>
  <sheetFormatPr baseColWidth="10" defaultColWidth="11.42578125" defaultRowHeight="14.25"/>
  <cols>
    <col min="1" max="1" width="4.85546875" style="113" customWidth="1"/>
    <col min="2" max="2" width="39" style="113" customWidth="1"/>
    <col min="3" max="3" width="43.42578125" style="113" customWidth="1"/>
    <col min="4" max="4" width="16.140625" style="113" customWidth="1"/>
    <col min="5" max="16384" width="11.42578125" style="113"/>
  </cols>
  <sheetData>
    <row r="2" spans="2:3" ht="58.5" customHeight="1"/>
    <row r="3" spans="2:3" ht="49.9" customHeight="1">
      <c r="B3" s="187" t="s">
        <v>58</v>
      </c>
      <c r="C3" s="188"/>
    </row>
    <row r="4" spans="2:3" ht="11.25" customHeight="1"/>
    <row r="6" spans="2:3" s="129" customFormat="1" ht="26.25">
      <c r="B6" s="115" t="s">
        <v>164</v>
      </c>
      <c r="C6" s="115" t="s">
        <v>124</v>
      </c>
    </row>
    <row r="7" spans="2:3" ht="8.25" customHeight="1"/>
    <row r="8" spans="2:3" s="129" customFormat="1" ht="26.25">
      <c r="B8" s="115" t="s">
        <v>268</v>
      </c>
      <c r="C8" s="129" t="str">
        <f>VLOOKUP(RIGHT(202012,2),mnd,2,FALSE)&amp;" - "&amp;LEFT(202012,4)</f>
        <v>Desember - 2020</v>
      </c>
    </row>
    <row r="10" spans="2:3" ht="15">
      <c r="B10" s="148" t="s">
        <v>438</v>
      </c>
    </row>
    <row r="11" spans="2:3" ht="15">
      <c r="B11" s="148" t="s">
        <v>55</v>
      </c>
      <c r="C11" s="180">
        <f ca="1">TODAY()</f>
        <v>44261</v>
      </c>
    </row>
    <row r="13" spans="2:3" ht="15">
      <c r="B13" s="148" t="s">
        <v>26</v>
      </c>
    </row>
    <row r="14" spans="2:3">
      <c r="B14" s="113" t="s">
        <v>314</v>
      </c>
    </row>
    <row r="15" spans="2:3">
      <c r="B15" s="113" t="s">
        <v>540</v>
      </c>
    </row>
    <row r="16" spans="2:3">
      <c r="B16" s="113" t="s">
        <v>122</v>
      </c>
    </row>
    <row r="17" spans="2:3">
      <c r="B17" s="113" t="s">
        <v>444</v>
      </c>
    </row>
    <row r="18" spans="2:3">
      <c r="B18" s="113" t="s">
        <v>373</v>
      </c>
    </row>
    <row r="19" spans="2:3">
      <c r="B19" s="113" t="s">
        <v>511</v>
      </c>
    </row>
    <row r="20" spans="2:3">
      <c r="B20" s="113" t="s">
        <v>59</v>
      </c>
    </row>
    <row r="30" spans="2:3" hidden="1">
      <c r="B30" s="159" t="s">
        <v>166</v>
      </c>
      <c r="C30" s="113" t="s">
        <v>439</v>
      </c>
    </row>
    <row r="31" spans="2:3" hidden="1">
      <c r="B31" s="159" t="s">
        <v>315</v>
      </c>
      <c r="C31" s="113" t="s">
        <v>27</v>
      </c>
    </row>
    <row r="32" spans="2:3" hidden="1">
      <c r="B32" s="159" t="s">
        <v>440</v>
      </c>
      <c r="C32" s="113" t="s">
        <v>167</v>
      </c>
    </row>
    <row r="33" spans="2:3" hidden="1">
      <c r="B33" s="159" t="s">
        <v>28</v>
      </c>
      <c r="C33" s="113" t="s">
        <v>60</v>
      </c>
    </row>
    <row r="34" spans="2:3" hidden="1">
      <c r="B34" s="159" t="s">
        <v>168</v>
      </c>
      <c r="C34" s="113" t="s">
        <v>398</v>
      </c>
    </row>
    <row r="35" spans="2:3" hidden="1">
      <c r="B35" s="159" t="s">
        <v>316</v>
      </c>
      <c r="C35" s="113" t="s">
        <v>512</v>
      </c>
    </row>
    <row r="36" spans="2:3" hidden="1">
      <c r="B36" s="159" t="s">
        <v>441</v>
      </c>
      <c r="C36" s="113" t="s">
        <v>235</v>
      </c>
    </row>
    <row r="37" spans="2:3" hidden="1">
      <c r="B37" s="159" t="s">
        <v>29</v>
      </c>
      <c r="C37" s="113" t="s">
        <v>236</v>
      </c>
    </row>
    <row r="38" spans="2:3" hidden="1">
      <c r="B38" s="159" t="s">
        <v>169</v>
      </c>
      <c r="C38" s="113" t="s">
        <v>204</v>
      </c>
    </row>
    <row r="39" spans="2:3" hidden="1">
      <c r="B39" s="159" t="s">
        <v>442</v>
      </c>
      <c r="C39" s="113" t="s">
        <v>403</v>
      </c>
    </row>
    <row r="40" spans="2:3" hidden="1">
      <c r="B40" s="159" t="s">
        <v>30</v>
      </c>
      <c r="C40" s="113" t="s">
        <v>31</v>
      </c>
    </row>
    <row r="41" spans="2:3" hidden="1">
      <c r="B41" s="159" t="s">
        <v>170</v>
      </c>
      <c r="C41" s="113" t="s">
        <v>237</v>
      </c>
    </row>
    <row r="42" spans="2:3">
      <c r="B42" s="159"/>
    </row>
  </sheetData>
  <mergeCells count="1">
    <mergeCell ref="B3:C3"/>
  </mergeCells>
  <hyperlinks>
    <hyperlink ref="B16" location="Balanse!A1" display=" - Balanse"/>
    <hyperlink ref="B17" location="'Resultat m budsjett'!A1" display=" - Resultat med fjorårstall"/>
    <hyperlink ref="B18" location="'Resultat pr måned'!A1" display=" - Resultat per måned"/>
    <hyperlink ref="B19" location="'Åpne poster kunder'!A1" display=" - Kundefordringer"/>
    <hyperlink ref="B20" location="'Åpne poster leverandører'!A1" display=" - Leverandørgjeld"/>
    <hyperlink ref="B15" location="Kommentarer!mnd" display=" - Kommentarer"/>
  </hyperlinks>
  <pageMargins left="0.7" right="0.7" top="0.75" bottom="0.75" header="0.3" footer="0.3"/>
  <pageSetup scale="87" fitToHeight="0" orientation="portrait" verticalDpi="597"/>
  <headerFooter>
    <oddFooter>&amp;CSide &amp;P av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42"/>
  <sheetViews>
    <sheetView workbookViewId="0"/>
  </sheetViews>
  <sheetFormatPr baseColWidth="10" defaultColWidth="11.42578125" defaultRowHeight="14.25"/>
  <cols>
    <col min="1" max="1" width="4.85546875" style="113" customWidth="1"/>
    <col min="2" max="2" width="39" style="113" customWidth="1"/>
    <col min="3" max="3" width="43.42578125" style="113" customWidth="1"/>
    <col min="4" max="4" width="16.140625" style="113" customWidth="1"/>
    <col min="5" max="16384" width="11.42578125" style="113"/>
  </cols>
  <sheetData>
    <row r="2" spans="2:3" ht="58.5" customHeight="1"/>
    <row r="3" spans="2:3" ht="49.9" customHeight="1">
      <c r="B3" s="187" t="s">
        <v>58</v>
      </c>
      <c r="C3" s="188"/>
    </row>
    <row r="4" spans="2:3" ht="11.25" customHeight="1"/>
    <row r="6" spans="2:3" s="129" customFormat="1" ht="26.25">
      <c r="B6" s="115" t="s">
        <v>164</v>
      </c>
      <c r="C6" s="115" t="e">
        <f ca="1">_xll.OneStop.ReportPlayer.OSRFunctions.OSRGet("ThisCompany","CompanyName")</f>
        <v>#NAME?</v>
      </c>
    </row>
    <row r="7" spans="2:3" ht="8.25" customHeight="1"/>
    <row r="8" spans="2:3" s="129" customFormat="1" ht="26.25">
      <c r="B8" s="115" t="s">
        <v>268</v>
      </c>
      <c r="C8" s="129" t="e">
        <f ca="1">VLOOKUP(RIGHT(_xll.OneStop.ReportPlayer.OSRFunctions.OSRGet("Period","PeriodId"),2),mnd,2,FALSE)&amp;" - "&amp;LEFT(_xll.OneStop.ReportPlayer.OSRFunctions.OSRGet("Period","PeriodId"),4)</f>
        <v>#NAME?</v>
      </c>
    </row>
    <row r="10" spans="2:3" ht="15">
      <c r="B10" s="148" t="s">
        <v>438</v>
      </c>
    </row>
    <row r="11" spans="2:3" ht="15">
      <c r="B11" s="148" t="s">
        <v>55</v>
      </c>
      <c r="C11" s="180">
        <f ca="1">TODAY()</f>
        <v>44261</v>
      </c>
    </row>
    <row r="13" spans="2:3" ht="15">
      <c r="B13" s="148" t="s">
        <v>26</v>
      </c>
    </row>
    <row r="14" spans="2:3">
      <c r="B14" s="113" t="s">
        <v>314</v>
      </c>
    </row>
    <row r="15" spans="2:3">
      <c r="B15" s="113" t="s">
        <v>540</v>
      </c>
    </row>
    <row r="16" spans="2:3">
      <c r="B16" s="113" t="s">
        <v>122</v>
      </c>
    </row>
    <row r="17" spans="2:3">
      <c r="B17" s="113" t="s">
        <v>444</v>
      </c>
    </row>
    <row r="18" spans="2:3">
      <c r="B18" s="113" t="s">
        <v>373</v>
      </c>
    </row>
    <row r="19" spans="2:3">
      <c r="B19" s="113" t="s">
        <v>511</v>
      </c>
    </row>
    <row r="20" spans="2:3">
      <c r="B20" s="113" t="s">
        <v>59</v>
      </c>
    </row>
    <row r="30" spans="2:3" hidden="1">
      <c r="B30" s="159" t="s">
        <v>166</v>
      </c>
      <c r="C30" s="113" t="s">
        <v>439</v>
      </c>
    </row>
    <row r="31" spans="2:3" hidden="1">
      <c r="B31" s="159" t="s">
        <v>315</v>
      </c>
      <c r="C31" s="113" t="s">
        <v>27</v>
      </c>
    </row>
    <row r="32" spans="2:3" hidden="1">
      <c r="B32" s="159" t="s">
        <v>440</v>
      </c>
      <c r="C32" s="113" t="s">
        <v>167</v>
      </c>
    </row>
    <row r="33" spans="2:3" hidden="1">
      <c r="B33" s="159" t="s">
        <v>28</v>
      </c>
      <c r="C33" s="113" t="s">
        <v>60</v>
      </c>
    </row>
    <row r="34" spans="2:3" hidden="1">
      <c r="B34" s="159" t="s">
        <v>168</v>
      </c>
      <c r="C34" s="113" t="s">
        <v>398</v>
      </c>
    </row>
    <row r="35" spans="2:3" hidden="1">
      <c r="B35" s="159" t="s">
        <v>316</v>
      </c>
      <c r="C35" s="113" t="s">
        <v>512</v>
      </c>
    </row>
    <row r="36" spans="2:3" hidden="1">
      <c r="B36" s="159" t="s">
        <v>441</v>
      </c>
      <c r="C36" s="113" t="s">
        <v>235</v>
      </c>
    </row>
    <row r="37" spans="2:3" hidden="1">
      <c r="B37" s="159" t="s">
        <v>29</v>
      </c>
      <c r="C37" s="113" t="s">
        <v>236</v>
      </c>
    </row>
    <row r="38" spans="2:3" hidden="1">
      <c r="B38" s="159" t="s">
        <v>169</v>
      </c>
      <c r="C38" s="113" t="s">
        <v>204</v>
      </c>
    </row>
    <row r="39" spans="2:3" hidden="1">
      <c r="B39" s="159" t="s">
        <v>442</v>
      </c>
      <c r="C39" s="113" t="s">
        <v>403</v>
      </c>
    </row>
    <row r="40" spans="2:3" hidden="1">
      <c r="B40" s="159" t="s">
        <v>30</v>
      </c>
      <c r="C40" s="113" t="s">
        <v>31</v>
      </c>
    </row>
    <row r="41" spans="2:3" hidden="1">
      <c r="B41" s="159" t="s">
        <v>170</v>
      </c>
      <c r="C41" s="113" t="s">
        <v>237</v>
      </c>
    </row>
    <row r="42" spans="2:3">
      <c r="B42" s="159"/>
    </row>
  </sheetData>
  <mergeCells count="1">
    <mergeCell ref="B3:C3"/>
  </mergeCells>
  <hyperlinks>
    <hyperlink ref="B16" location="Balanse!A1" display=" - Balanse"/>
    <hyperlink ref="B17" location="'Resultat m budsjett'!A1" display=" - Resultat med fjorårstall"/>
    <hyperlink ref="B18" location="'Resultat pr måned'!A1" display=" - Resultat per måned"/>
    <hyperlink ref="B19" location="'Åpne poster kunder'!A1" display=" - Kundefordringer"/>
    <hyperlink ref="B20" location="'Åpne poster leverandører'!A1" display=" - Leverandørgjeld"/>
    <hyperlink ref="B15" location="Kommentarer!mnd" display=" - Kommentarer"/>
  </hyperlinks>
  <pageMargins left="0.7" right="0.7" top="0.75" bottom="0.75" header="0.3" footer="0.3"/>
  <pageSetup scale="87" fitToHeight="0" orientation="portrait" verticalDpi="597"/>
  <headerFooter>
    <oddFooter>&amp;CSide &amp;P av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25"/>
  <sheetViews>
    <sheetView tabSelected="1" topLeftCell="A3" workbookViewId="0">
      <selection activeCell="D35" sqref="D35"/>
    </sheetView>
  </sheetViews>
  <sheetFormatPr baseColWidth="10" defaultColWidth="11.42578125" defaultRowHeight="14.25"/>
  <cols>
    <col min="1" max="1" width="4.85546875" style="113" customWidth="1"/>
    <col min="2" max="2" width="39" style="113" customWidth="1"/>
    <col min="3" max="3" width="43.42578125" style="113" customWidth="1"/>
    <col min="4" max="4" width="16.140625" style="113" customWidth="1"/>
    <col min="5" max="16384" width="11.42578125" style="113"/>
  </cols>
  <sheetData>
    <row r="1" spans="2:3">
      <c r="B1" s="40"/>
    </row>
    <row r="2" spans="2:3" ht="58.5" customHeight="1">
      <c r="B2" s="40" t="s">
        <v>513</v>
      </c>
    </row>
    <row r="3" spans="2:3" ht="49.9" customHeight="1">
      <c r="B3" s="187" t="s">
        <v>272</v>
      </c>
      <c r="C3" s="188"/>
    </row>
    <row r="4" spans="2:3" ht="11.25" customHeight="1"/>
    <row r="13" spans="2:3" hidden="1">
      <c r="B13" s="159" t="s">
        <v>166</v>
      </c>
      <c r="C13" s="113" t="s">
        <v>439</v>
      </c>
    </row>
    <row r="14" spans="2:3" hidden="1">
      <c r="B14" s="159" t="s">
        <v>315</v>
      </c>
      <c r="C14" s="113" t="s">
        <v>27</v>
      </c>
    </row>
    <row r="15" spans="2:3" hidden="1">
      <c r="B15" s="159" t="s">
        <v>440</v>
      </c>
      <c r="C15" s="113" t="s">
        <v>167</v>
      </c>
    </row>
    <row r="16" spans="2:3" hidden="1">
      <c r="B16" s="159" t="s">
        <v>28</v>
      </c>
      <c r="C16" s="113" t="s">
        <v>60</v>
      </c>
    </row>
    <row r="17" spans="2:3" hidden="1">
      <c r="B17" s="159" t="s">
        <v>168</v>
      </c>
      <c r="C17" s="113" t="s">
        <v>398</v>
      </c>
    </row>
    <row r="18" spans="2:3" hidden="1">
      <c r="B18" s="159" t="s">
        <v>316</v>
      </c>
      <c r="C18" s="113" t="s">
        <v>512</v>
      </c>
    </row>
    <row r="19" spans="2:3" hidden="1">
      <c r="B19" s="159" t="s">
        <v>441</v>
      </c>
      <c r="C19" s="113" t="s">
        <v>235</v>
      </c>
    </row>
    <row r="20" spans="2:3" hidden="1">
      <c r="B20" s="159" t="s">
        <v>29</v>
      </c>
      <c r="C20" s="113" t="s">
        <v>236</v>
      </c>
    </row>
    <row r="21" spans="2:3" hidden="1">
      <c r="B21" s="159" t="s">
        <v>169</v>
      </c>
      <c r="C21" s="113" t="s">
        <v>204</v>
      </c>
    </row>
    <row r="22" spans="2:3" hidden="1">
      <c r="B22" s="159" t="s">
        <v>442</v>
      </c>
      <c r="C22" s="113" t="s">
        <v>403</v>
      </c>
    </row>
    <row r="23" spans="2:3" hidden="1">
      <c r="B23" s="159" t="s">
        <v>30</v>
      </c>
      <c r="C23" s="113" t="s">
        <v>31</v>
      </c>
    </row>
    <row r="24" spans="2:3" hidden="1">
      <c r="B24" s="159" t="s">
        <v>170</v>
      </c>
      <c r="C24" s="113" t="s">
        <v>237</v>
      </c>
    </row>
    <row r="25" spans="2:3">
      <c r="B25" s="159"/>
    </row>
  </sheetData>
  <mergeCells count="1">
    <mergeCell ref="B3:C3"/>
  </mergeCells>
  <hyperlinks>
    <hyperlink ref="B2" location="Forside!A1" display="Forside"/>
  </hyperlinks>
  <pageMargins left="0.7" right="0.7" top="0.75" bottom="0.75" header="0.3" footer="0.3"/>
  <pageSetup scale="87" fitToHeight="0" orientation="portrait" verticalDpi="597" r:id="rId1"/>
  <headerFooter>
    <oddFooter>&amp;CSide &amp;P av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118"/>
  <sheetViews>
    <sheetView showGridLines="0" zoomScale="70" workbookViewId="0">
      <pane ySplit="14" topLeftCell="A15" activePane="bottomLeft" state="frozen"/>
      <selection activeCell="C29" sqref="C29"/>
      <selection pane="bottomLeft" activeCell="U106" sqref="U106"/>
    </sheetView>
  </sheetViews>
  <sheetFormatPr baseColWidth="10" defaultColWidth="9.140625" defaultRowHeight="14.25" outlineLevelRow="2" outlineLevelCol="1"/>
  <cols>
    <col min="1" max="1" width="3.140625" style="45" customWidth="1"/>
    <col min="2" max="2" width="9.85546875" style="45" customWidth="1"/>
    <col min="3" max="3" width="37.28515625" style="45" customWidth="1"/>
    <col min="4" max="4" width="19.42578125" style="45" customWidth="1"/>
    <col min="5" max="5" width="3.85546875" style="45" customWidth="1"/>
    <col min="6" max="17" width="18.140625" style="45" hidden="1" customWidth="1" outlineLevel="1"/>
    <col min="18" max="18" width="18.140625" style="45" customWidth="1" collapsed="1"/>
    <col min="19" max="19" width="19.140625" style="45" bestFit="1" customWidth="1"/>
    <col min="20" max="20" width="0.7109375" style="45" customWidth="1"/>
    <col min="21" max="16384" width="9.140625" style="45"/>
  </cols>
  <sheetData>
    <row r="1" spans="2:28" s="40" customFormat="1" ht="15.6" customHeight="1">
      <c r="B1" s="59" t="s">
        <v>513</v>
      </c>
    </row>
    <row r="2" spans="2:28" s="40" customFormat="1" ht="21" customHeight="1">
      <c r="B2" s="82" t="s">
        <v>124</v>
      </c>
      <c r="D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2:28" s="40" customFormat="1" ht="30.6" customHeight="1">
      <c r="B3" s="85" t="s">
        <v>284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2:28" s="40" customFormat="1" ht="15" customHeight="1"/>
    <row r="5" spans="2:28" s="40" customFormat="1" ht="15">
      <c r="B5" s="75" t="s">
        <v>371</v>
      </c>
      <c r="C5" s="109"/>
      <c r="D5" s="189" t="s">
        <v>475</v>
      </c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</row>
    <row r="6" spans="2:28" s="40" customFormat="1" ht="30" customHeight="1">
      <c r="B6" s="191">
        <f>D62</f>
        <v>1289467.9504000004</v>
      </c>
      <c r="C6" s="192"/>
      <c r="D6" s="193">
        <f>S62</f>
        <v>1237874.6704000004</v>
      </c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77"/>
    </row>
    <row r="7" spans="2:28" s="40" customFormat="1" ht="10.9" customHeight="1">
      <c r="T7" s="77"/>
    </row>
    <row r="8" spans="2:28" s="40" customFormat="1" ht="15.6" customHeight="1">
      <c r="B8" s="83" t="s">
        <v>504</v>
      </c>
      <c r="C8" s="116">
        <v>202012</v>
      </c>
      <c r="S8" s="33">
        <f ca="1">TODAY()</f>
        <v>44261</v>
      </c>
      <c r="T8" s="77"/>
    </row>
    <row r="9" spans="2:28" ht="6.6" customHeight="1">
      <c r="B9" s="81"/>
      <c r="C9" s="37"/>
      <c r="D9" s="37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67"/>
      <c r="T9" s="67"/>
    </row>
    <row r="10" spans="2:28" ht="18">
      <c r="B10" s="72"/>
      <c r="C10" s="72"/>
      <c r="D10" s="25" t="s">
        <v>348</v>
      </c>
      <c r="E10" s="47"/>
      <c r="F10" s="194" t="s">
        <v>93</v>
      </c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25" t="s">
        <v>414</v>
      </c>
      <c r="T10" s="183"/>
    </row>
    <row r="11" spans="2:28" ht="18">
      <c r="B11" s="178"/>
      <c r="C11" s="72"/>
      <c r="D11" s="60" t="s">
        <v>129</v>
      </c>
      <c r="E11" s="25"/>
      <c r="F11" s="25">
        <v>202001</v>
      </c>
      <c r="G11" s="25">
        <v>202002</v>
      </c>
      <c r="H11" s="25">
        <v>202003</v>
      </c>
      <c r="I11" s="25">
        <v>202004</v>
      </c>
      <c r="J11" s="25">
        <v>202005</v>
      </c>
      <c r="K11" s="25">
        <v>202006</v>
      </c>
      <c r="L11" s="25">
        <v>202007</v>
      </c>
      <c r="M11" s="25">
        <v>202008</v>
      </c>
      <c r="N11" s="25">
        <v>202009</v>
      </c>
      <c r="O11" s="25">
        <v>202010</v>
      </c>
      <c r="P11" s="25">
        <v>202011</v>
      </c>
      <c r="Q11" s="25">
        <v>202012</v>
      </c>
      <c r="R11" s="25" t="s">
        <v>519</v>
      </c>
      <c r="S11" s="25">
        <v>202012</v>
      </c>
      <c r="T11" s="183"/>
    </row>
    <row r="12" spans="2:28" ht="6.6" customHeight="1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</row>
    <row r="13" spans="2:28" ht="2.4500000000000002" customHeight="1">
      <c r="B13" s="54"/>
      <c r="C13" s="54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spans="2:28" ht="6.6" customHeight="1">
      <c r="B14" s="56"/>
      <c r="C14" s="56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spans="2:28" s="165" customFormat="1" ht="18">
      <c r="B15" s="22" t="s">
        <v>38</v>
      </c>
      <c r="C15" s="22"/>
      <c r="D15" s="48"/>
      <c r="E15" s="48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48"/>
      <c r="S15" s="74"/>
      <c r="T15" s="43"/>
      <c r="U15" s="36"/>
      <c r="V15" s="36"/>
      <c r="W15" s="36"/>
      <c r="X15" s="36"/>
      <c r="Y15" s="36"/>
      <c r="Z15" s="36"/>
      <c r="AA15" s="36"/>
      <c r="AB15" s="36"/>
    </row>
    <row r="16" spans="2:28" s="165" customFormat="1" ht="6.6" customHeight="1">
      <c r="B16" s="22"/>
      <c r="C16" s="22"/>
      <c r="D16" s="48"/>
      <c r="E16" s="48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48"/>
      <c r="S16" s="74"/>
      <c r="T16" s="43"/>
      <c r="U16" s="36"/>
      <c r="V16" s="36"/>
      <c r="W16" s="36"/>
      <c r="X16" s="36"/>
      <c r="Y16" s="36"/>
      <c r="Z16" s="36"/>
      <c r="AA16" s="36"/>
      <c r="AB16" s="36"/>
    </row>
    <row r="17" spans="2:28" s="165" customFormat="1" ht="18" hidden="1" outlineLevel="1">
      <c r="B17" s="22" t="s">
        <v>455</v>
      </c>
      <c r="C17" s="22"/>
      <c r="D17" s="48"/>
      <c r="E17" s="48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48"/>
      <c r="S17" s="74"/>
      <c r="T17" s="43"/>
      <c r="U17" s="36"/>
      <c r="V17" s="36"/>
      <c r="W17" s="36"/>
      <c r="X17" s="36"/>
      <c r="Y17" s="36"/>
      <c r="Z17" s="36"/>
      <c r="AA17" s="36"/>
      <c r="AB17" s="36"/>
    </row>
    <row r="18" spans="2:28" s="165" customFormat="1" ht="18" hidden="1" outlineLevel="1">
      <c r="B18" s="22" t="s">
        <v>0</v>
      </c>
      <c r="C18" s="22"/>
      <c r="D18" s="4">
        <f>SUM(0)</f>
        <v>0</v>
      </c>
      <c r="E18" s="4"/>
      <c r="F18" s="6">
        <f t="shared" ref="F18:R18" si="0">SUM(0)</f>
        <v>0</v>
      </c>
      <c r="G18" s="6">
        <f t="shared" si="0"/>
        <v>0</v>
      </c>
      <c r="H18" s="6">
        <f t="shared" si="0"/>
        <v>0</v>
      </c>
      <c r="I18" s="6">
        <f t="shared" si="0"/>
        <v>0</v>
      </c>
      <c r="J18" s="6">
        <f t="shared" si="0"/>
        <v>0</v>
      </c>
      <c r="K18" s="6">
        <f t="shared" si="0"/>
        <v>0</v>
      </c>
      <c r="L18" s="6">
        <f t="shared" si="0"/>
        <v>0</v>
      </c>
      <c r="M18" s="6">
        <f t="shared" si="0"/>
        <v>0</v>
      </c>
      <c r="N18" s="6">
        <f t="shared" si="0"/>
        <v>0</v>
      </c>
      <c r="O18" s="6">
        <f t="shared" si="0"/>
        <v>0</v>
      </c>
      <c r="P18" s="6">
        <f t="shared" si="0"/>
        <v>0</v>
      </c>
      <c r="Q18" s="6">
        <f t="shared" si="0"/>
        <v>0</v>
      </c>
      <c r="R18" s="4">
        <f t="shared" si="0"/>
        <v>0</v>
      </c>
      <c r="S18" s="43">
        <f t="shared" ref="S18:S36" si="1">D18+R18</f>
        <v>0</v>
      </c>
      <c r="T18" s="43"/>
      <c r="U18" s="36"/>
      <c r="V18" s="36"/>
      <c r="W18" s="36"/>
      <c r="X18" s="36"/>
      <c r="Y18" s="36"/>
      <c r="Z18" s="36"/>
      <c r="AA18" s="36"/>
      <c r="AB18" s="36"/>
    </row>
    <row r="19" spans="2:28" s="165" customFormat="1" ht="18" hidden="1" outlineLevel="2">
      <c r="B19" s="53">
        <v>1100</v>
      </c>
      <c r="C19" s="50" t="s">
        <v>239</v>
      </c>
      <c r="D19" s="15">
        <v>20950</v>
      </c>
      <c r="E19" s="1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>
        <v>-10500</v>
      </c>
      <c r="R19" s="15">
        <f t="shared" ref="R19:R36" si="2">SUM(F19:Q19)</f>
        <v>-10500</v>
      </c>
      <c r="S19" s="43">
        <f t="shared" si="1"/>
        <v>10450</v>
      </c>
      <c r="T19" s="43"/>
      <c r="U19" s="36"/>
      <c r="V19" s="36"/>
      <c r="W19" s="36"/>
      <c r="X19" s="36"/>
      <c r="Y19" s="36"/>
      <c r="Z19" s="36"/>
      <c r="AA19" s="36"/>
      <c r="AB19" s="36"/>
    </row>
    <row r="20" spans="2:28" s="165" customFormat="1" ht="18" hidden="1" outlineLevel="2">
      <c r="B20" s="53">
        <v>1154</v>
      </c>
      <c r="C20" s="50" t="s">
        <v>86</v>
      </c>
      <c r="D20" s="15">
        <v>303000</v>
      </c>
      <c r="E20" s="1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15">
        <f t="shared" si="2"/>
        <v>0</v>
      </c>
      <c r="S20" s="43">
        <f t="shared" si="1"/>
        <v>303000</v>
      </c>
      <c r="T20" s="43"/>
      <c r="U20" s="36"/>
      <c r="V20" s="36"/>
      <c r="W20" s="36"/>
      <c r="X20" s="36"/>
      <c r="Y20" s="36"/>
      <c r="Z20" s="36"/>
      <c r="AA20" s="36"/>
      <c r="AB20" s="36"/>
    </row>
    <row r="21" spans="2:28" s="165" customFormat="1" ht="18" hidden="1" outlineLevel="2">
      <c r="B21" s="53">
        <v>1155</v>
      </c>
      <c r="C21" s="50" t="s">
        <v>445</v>
      </c>
      <c r="D21" s="15">
        <v>2945000</v>
      </c>
      <c r="E21" s="1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15">
        <f t="shared" si="2"/>
        <v>0</v>
      </c>
      <c r="S21" s="43">
        <f t="shared" si="1"/>
        <v>2945000</v>
      </c>
      <c r="T21" s="43"/>
      <c r="U21" s="36"/>
      <c r="V21" s="36"/>
      <c r="W21" s="36"/>
      <c r="X21" s="36"/>
      <c r="Y21" s="36"/>
      <c r="Z21" s="36"/>
      <c r="AA21" s="36"/>
      <c r="AB21" s="36"/>
    </row>
    <row r="22" spans="2:28" s="165" customFormat="1" ht="18" hidden="1" outlineLevel="2">
      <c r="B22" s="53">
        <v>1156</v>
      </c>
      <c r="C22" s="50" t="s">
        <v>240</v>
      </c>
      <c r="D22" s="15">
        <v>1871718.3999999999</v>
      </c>
      <c r="E22" s="1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15">
        <f t="shared" si="2"/>
        <v>0</v>
      </c>
      <c r="S22" s="43">
        <f t="shared" si="1"/>
        <v>1871718.3999999999</v>
      </c>
      <c r="T22" s="43"/>
      <c r="U22" s="36"/>
      <c r="V22" s="36"/>
      <c r="W22" s="36"/>
      <c r="X22" s="36"/>
      <c r="Y22" s="36"/>
      <c r="Z22" s="36"/>
      <c r="AA22" s="36"/>
      <c r="AB22" s="36"/>
    </row>
    <row r="23" spans="2:28" s="165" customFormat="1" ht="18" hidden="1" outlineLevel="2">
      <c r="B23" s="53">
        <v>1157</v>
      </c>
      <c r="C23" s="50" t="s">
        <v>175</v>
      </c>
      <c r="D23" s="15">
        <v>-2300000</v>
      </c>
      <c r="E23" s="1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15">
        <f t="shared" si="2"/>
        <v>0</v>
      </c>
      <c r="S23" s="43">
        <f t="shared" si="1"/>
        <v>-2300000</v>
      </c>
      <c r="T23" s="43"/>
      <c r="U23" s="36"/>
      <c r="V23" s="36"/>
      <c r="W23" s="36"/>
      <c r="X23" s="36"/>
      <c r="Y23" s="36"/>
      <c r="Z23" s="36"/>
      <c r="AA23" s="36"/>
      <c r="AB23" s="36"/>
    </row>
    <row r="24" spans="2:28" s="165" customFormat="1" ht="18" hidden="1" outlineLevel="2">
      <c r="B24" s="53">
        <v>1158</v>
      </c>
      <c r="C24" s="50" t="s">
        <v>206</v>
      </c>
      <c r="D24" s="15">
        <v>-303000</v>
      </c>
      <c r="E24" s="1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15">
        <f t="shared" si="2"/>
        <v>0</v>
      </c>
      <c r="S24" s="43">
        <f t="shared" si="1"/>
        <v>-303000</v>
      </c>
      <c r="T24" s="43"/>
      <c r="U24" s="36"/>
      <c r="V24" s="36"/>
      <c r="W24" s="36"/>
      <c r="X24" s="36"/>
      <c r="Y24" s="36"/>
      <c r="Z24" s="36"/>
      <c r="AA24" s="36"/>
      <c r="AB24" s="36"/>
    </row>
    <row r="25" spans="2:28" s="165" customFormat="1" ht="18" hidden="1" outlineLevel="2">
      <c r="B25" s="53">
        <v>1159</v>
      </c>
      <c r="C25" s="50" t="s">
        <v>317</v>
      </c>
      <c r="D25" s="15">
        <v>-2084500</v>
      </c>
      <c r="E25" s="1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15">
        <f t="shared" si="2"/>
        <v>0</v>
      </c>
      <c r="S25" s="43">
        <f t="shared" si="1"/>
        <v>-2084500</v>
      </c>
      <c r="T25" s="43"/>
      <c r="U25" s="36"/>
      <c r="V25" s="36"/>
      <c r="W25" s="36"/>
      <c r="X25" s="36"/>
      <c r="Y25" s="36"/>
      <c r="Z25" s="36"/>
      <c r="AA25" s="36"/>
      <c r="AB25" s="36"/>
    </row>
    <row r="26" spans="2:28" s="165" customFormat="1" ht="18" hidden="1" outlineLevel="2">
      <c r="B26" s="53">
        <v>1200</v>
      </c>
      <c r="C26" s="50" t="s">
        <v>241</v>
      </c>
      <c r="D26" s="15">
        <v>4000</v>
      </c>
      <c r="E26" s="15"/>
      <c r="F26" s="5"/>
      <c r="G26" s="5"/>
      <c r="H26" s="5"/>
      <c r="I26" s="5"/>
      <c r="J26" s="5"/>
      <c r="K26" s="5"/>
      <c r="L26" s="5"/>
      <c r="M26" s="5"/>
      <c r="N26" s="5"/>
      <c r="O26" s="5">
        <v>-1850</v>
      </c>
      <c r="P26" s="5"/>
      <c r="Q26" s="5"/>
      <c r="R26" s="15">
        <f t="shared" si="2"/>
        <v>-1850</v>
      </c>
      <c r="S26" s="43">
        <f t="shared" si="1"/>
        <v>2150</v>
      </c>
      <c r="T26" s="43"/>
      <c r="U26" s="36"/>
      <c r="V26" s="36"/>
      <c r="W26" s="36"/>
      <c r="X26" s="36"/>
      <c r="Y26" s="36"/>
      <c r="Z26" s="36"/>
      <c r="AA26" s="36"/>
      <c r="AB26" s="36"/>
    </row>
    <row r="27" spans="2:28" s="165" customFormat="1" ht="18" hidden="1" outlineLevel="2">
      <c r="B27" s="53">
        <v>1201</v>
      </c>
      <c r="C27" s="50" t="s">
        <v>125</v>
      </c>
      <c r="D27" s="15">
        <v>0</v>
      </c>
      <c r="E27" s="1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15">
        <f t="shared" si="2"/>
        <v>0</v>
      </c>
      <c r="S27" s="43">
        <f t="shared" si="1"/>
        <v>0</v>
      </c>
      <c r="T27" s="43"/>
      <c r="U27" s="36"/>
      <c r="V27" s="36"/>
      <c r="W27" s="36"/>
      <c r="X27" s="36"/>
      <c r="Y27" s="36"/>
      <c r="Z27" s="36"/>
      <c r="AA27" s="36"/>
      <c r="AB27" s="36"/>
    </row>
    <row r="28" spans="2:28" s="165" customFormat="1" ht="18" hidden="1" outlineLevel="2">
      <c r="B28" s="53">
        <v>1202</v>
      </c>
      <c r="C28" s="50" t="s">
        <v>86</v>
      </c>
      <c r="D28" s="15">
        <v>0</v>
      </c>
      <c r="E28" s="1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15">
        <f t="shared" si="2"/>
        <v>0</v>
      </c>
      <c r="S28" s="43">
        <f t="shared" si="1"/>
        <v>0</v>
      </c>
      <c r="T28" s="43"/>
      <c r="U28" s="36"/>
      <c r="V28" s="36"/>
      <c r="W28" s="36"/>
      <c r="X28" s="36"/>
      <c r="Y28" s="36"/>
      <c r="Z28" s="36"/>
      <c r="AA28" s="36"/>
      <c r="AB28" s="36"/>
    </row>
    <row r="29" spans="2:28" s="165" customFormat="1" ht="18" hidden="1" outlineLevel="2">
      <c r="B29" s="53">
        <v>1213</v>
      </c>
      <c r="C29" s="50" t="s">
        <v>32</v>
      </c>
      <c r="D29" s="15">
        <v>0</v>
      </c>
      <c r="E29" s="1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15">
        <f t="shared" si="2"/>
        <v>0</v>
      </c>
      <c r="S29" s="43">
        <f t="shared" si="1"/>
        <v>0</v>
      </c>
      <c r="T29" s="43"/>
      <c r="U29" s="36"/>
      <c r="V29" s="36"/>
      <c r="W29" s="36"/>
      <c r="X29" s="36"/>
      <c r="Y29" s="36"/>
      <c r="Z29" s="36"/>
      <c r="AA29" s="36"/>
      <c r="AB29" s="36"/>
    </row>
    <row r="30" spans="2:28" s="165" customFormat="1" ht="18" hidden="1" outlineLevel="2">
      <c r="B30" s="53">
        <v>1240</v>
      </c>
      <c r="C30" s="50" t="s">
        <v>207</v>
      </c>
      <c r="D30" s="15">
        <v>0</v>
      </c>
      <c r="E30" s="1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15">
        <f t="shared" si="2"/>
        <v>0</v>
      </c>
      <c r="S30" s="43">
        <f t="shared" si="1"/>
        <v>0</v>
      </c>
      <c r="T30" s="43"/>
      <c r="U30" s="36"/>
      <c r="V30" s="36"/>
      <c r="W30" s="36"/>
      <c r="X30" s="36"/>
      <c r="Y30" s="36"/>
      <c r="Z30" s="36"/>
      <c r="AA30" s="36"/>
      <c r="AB30" s="36"/>
    </row>
    <row r="31" spans="2:28" s="165" customFormat="1" ht="18" hidden="1" outlineLevel="2">
      <c r="B31" s="53">
        <v>1241</v>
      </c>
      <c r="C31" s="50" t="s">
        <v>176</v>
      </c>
      <c r="D31" s="15">
        <v>86300</v>
      </c>
      <c r="E31" s="15"/>
      <c r="F31" s="5"/>
      <c r="G31" s="5"/>
      <c r="H31" s="5"/>
      <c r="I31" s="5"/>
      <c r="J31" s="5"/>
      <c r="K31" s="5"/>
      <c r="L31" s="5"/>
      <c r="M31" s="5"/>
      <c r="N31" s="5"/>
      <c r="O31" s="5">
        <v>-15300</v>
      </c>
      <c r="P31" s="5"/>
      <c r="Q31" s="5"/>
      <c r="R31" s="15">
        <f t="shared" si="2"/>
        <v>-15300</v>
      </c>
      <c r="S31" s="43">
        <f t="shared" si="1"/>
        <v>71000</v>
      </c>
      <c r="T31" s="43"/>
      <c r="U31" s="36"/>
      <c r="V31" s="36"/>
      <c r="W31" s="36"/>
      <c r="X31" s="36"/>
      <c r="Y31" s="36"/>
      <c r="Z31" s="36"/>
      <c r="AA31" s="36"/>
      <c r="AB31" s="36"/>
    </row>
    <row r="32" spans="2:28" s="165" customFormat="1" ht="18" hidden="1" outlineLevel="2">
      <c r="B32" s="53">
        <v>1245</v>
      </c>
      <c r="C32" s="50" t="s">
        <v>446</v>
      </c>
      <c r="D32" s="15">
        <v>116529.5</v>
      </c>
      <c r="E32" s="15"/>
      <c r="F32" s="5"/>
      <c r="G32" s="5"/>
      <c r="H32" s="5"/>
      <c r="I32" s="5"/>
      <c r="J32" s="5"/>
      <c r="K32" s="5"/>
      <c r="L32" s="5"/>
      <c r="M32" s="5"/>
      <c r="N32" s="5"/>
      <c r="O32" s="5">
        <v>-34106</v>
      </c>
      <c r="P32" s="5"/>
      <c r="Q32" s="5"/>
      <c r="R32" s="15">
        <f t="shared" si="2"/>
        <v>-34106</v>
      </c>
      <c r="S32" s="43">
        <f t="shared" si="1"/>
        <v>82423.5</v>
      </c>
      <c r="T32" s="43"/>
      <c r="U32" s="36"/>
      <c r="V32" s="36"/>
      <c r="W32" s="36"/>
      <c r="X32" s="36"/>
      <c r="Y32" s="36"/>
      <c r="Z32" s="36"/>
      <c r="AA32" s="36"/>
      <c r="AB32" s="36"/>
    </row>
    <row r="33" spans="2:28" s="165" customFormat="1" ht="18" hidden="1" outlineLevel="2">
      <c r="B33" s="53">
        <v>1249</v>
      </c>
      <c r="C33" s="50" t="s">
        <v>62</v>
      </c>
      <c r="D33" s="15">
        <v>0</v>
      </c>
      <c r="E33" s="1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15">
        <f t="shared" si="2"/>
        <v>0</v>
      </c>
      <c r="S33" s="43">
        <f t="shared" si="1"/>
        <v>0</v>
      </c>
      <c r="T33" s="43"/>
      <c r="U33" s="36"/>
      <c r="V33" s="36"/>
      <c r="W33" s="36"/>
      <c r="X33" s="36"/>
      <c r="Y33" s="36"/>
      <c r="Z33" s="36"/>
      <c r="AA33" s="36"/>
      <c r="AB33" s="36"/>
    </row>
    <row r="34" spans="2:28" s="165" customFormat="1" ht="18" hidden="1" outlineLevel="2">
      <c r="B34" s="53">
        <v>1250</v>
      </c>
      <c r="C34" s="50" t="s">
        <v>177</v>
      </c>
      <c r="D34" s="15">
        <v>35430</v>
      </c>
      <c r="E34" s="15"/>
      <c r="F34" s="5"/>
      <c r="G34" s="5"/>
      <c r="H34" s="5"/>
      <c r="I34" s="5"/>
      <c r="J34" s="5"/>
      <c r="K34" s="5"/>
      <c r="L34" s="5"/>
      <c r="M34" s="5"/>
      <c r="N34" s="5"/>
      <c r="O34" s="5">
        <v>-7695</v>
      </c>
      <c r="P34" s="5"/>
      <c r="Q34" s="5"/>
      <c r="R34" s="15">
        <f t="shared" si="2"/>
        <v>-7695</v>
      </c>
      <c r="S34" s="43">
        <f t="shared" si="1"/>
        <v>27735</v>
      </c>
      <c r="T34" s="43"/>
      <c r="U34" s="36"/>
      <c r="V34" s="36"/>
      <c r="W34" s="36"/>
      <c r="X34" s="36"/>
      <c r="Y34" s="36"/>
      <c r="Z34" s="36"/>
      <c r="AA34" s="36"/>
      <c r="AB34" s="36"/>
    </row>
    <row r="35" spans="2:28" s="165" customFormat="1" ht="18" hidden="1" outlineLevel="2">
      <c r="B35" s="53">
        <v>1261</v>
      </c>
      <c r="C35" s="50" t="s">
        <v>208</v>
      </c>
      <c r="D35" s="15">
        <v>2944</v>
      </c>
      <c r="E35" s="15"/>
      <c r="F35" s="5"/>
      <c r="G35" s="5"/>
      <c r="H35" s="5"/>
      <c r="I35" s="5"/>
      <c r="J35" s="5"/>
      <c r="K35" s="5"/>
      <c r="L35" s="5"/>
      <c r="M35" s="5"/>
      <c r="N35" s="5"/>
      <c r="O35" s="5">
        <v>-4796</v>
      </c>
      <c r="P35" s="5"/>
      <c r="Q35" s="5">
        <v>1852</v>
      </c>
      <c r="R35" s="15">
        <f t="shared" si="2"/>
        <v>-2944</v>
      </c>
      <c r="S35" s="43">
        <f t="shared" si="1"/>
        <v>0</v>
      </c>
      <c r="T35" s="43"/>
      <c r="U35" s="36"/>
      <c r="V35" s="36"/>
      <c r="W35" s="36"/>
      <c r="X35" s="36"/>
      <c r="Y35" s="36"/>
      <c r="Z35" s="36"/>
      <c r="AA35" s="36"/>
      <c r="AB35" s="36"/>
    </row>
    <row r="36" spans="2:28" s="165" customFormat="1" ht="18" hidden="1" outlineLevel="2">
      <c r="B36" s="53">
        <v>1262</v>
      </c>
      <c r="C36" s="50" t="s">
        <v>482</v>
      </c>
      <c r="D36" s="15">
        <v>0</v>
      </c>
      <c r="E36" s="1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15">
        <f t="shared" si="2"/>
        <v>0</v>
      </c>
      <c r="S36" s="43">
        <f t="shared" si="1"/>
        <v>0</v>
      </c>
      <c r="T36" s="43"/>
      <c r="U36" s="36"/>
      <c r="V36" s="36"/>
      <c r="W36" s="36"/>
      <c r="X36" s="36"/>
      <c r="Y36" s="36"/>
      <c r="Z36" s="36"/>
      <c r="AA36" s="36"/>
      <c r="AB36" s="36"/>
    </row>
    <row r="37" spans="2:28" s="165" customFormat="1" ht="18" hidden="1" outlineLevel="1" collapsed="1">
      <c r="B37" s="22" t="s">
        <v>285</v>
      </c>
      <c r="C37" s="22"/>
      <c r="D37" s="4">
        <f>SUM(D19:D36)</f>
        <v>698371.90000000037</v>
      </c>
      <c r="E37" s="4"/>
      <c r="F37" s="6">
        <f t="shared" ref="F37:R37" si="3">SUM(F19:F36)</f>
        <v>0</v>
      </c>
      <c r="G37" s="6">
        <f t="shared" si="3"/>
        <v>0</v>
      </c>
      <c r="H37" s="6">
        <f t="shared" si="3"/>
        <v>0</v>
      </c>
      <c r="I37" s="6">
        <f t="shared" si="3"/>
        <v>0</v>
      </c>
      <c r="J37" s="6">
        <f t="shared" si="3"/>
        <v>0</v>
      </c>
      <c r="K37" s="6">
        <f t="shared" si="3"/>
        <v>0</v>
      </c>
      <c r="L37" s="6">
        <f t="shared" si="3"/>
        <v>0</v>
      </c>
      <c r="M37" s="6">
        <f t="shared" si="3"/>
        <v>0</v>
      </c>
      <c r="N37" s="6">
        <f t="shared" si="3"/>
        <v>0</v>
      </c>
      <c r="O37" s="6">
        <f t="shared" si="3"/>
        <v>-63747</v>
      </c>
      <c r="P37" s="6">
        <f t="shared" si="3"/>
        <v>0</v>
      </c>
      <c r="Q37" s="6">
        <f t="shared" si="3"/>
        <v>-8648</v>
      </c>
      <c r="R37" s="4">
        <f t="shared" si="3"/>
        <v>-72395</v>
      </c>
      <c r="S37" s="43">
        <f>D37+R37</f>
        <v>625976.90000000037</v>
      </c>
      <c r="T37" s="43"/>
      <c r="U37" s="36"/>
      <c r="V37" s="36"/>
      <c r="W37" s="36"/>
      <c r="X37" s="36"/>
      <c r="Y37" s="36"/>
      <c r="Z37" s="36"/>
      <c r="AA37" s="36"/>
      <c r="AB37" s="36"/>
    </row>
    <row r="38" spans="2:28" s="165" customFormat="1" ht="18" hidden="1" outlineLevel="1">
      <c r="B38" s="22" t="s">
        <v>286</v>
      </c>
      <c r="C38" s="22"/>
      <c r="D38" s="4">
        <f>SUM(0)</f>
        <v>0</v>
      </c>
      <c r="E38" s="4"/>
      <c r="F38" s="6">
        <f t="shared" ref="F38:R38" si="4">SUM(0)</f>
        <v>0</v>
      </c>
      <c r="G38" s="6">
        <f t="shared" si="4"/>
        <v>0</v>
      </c>
      <c r="H38" s="6">
        <f t="shared" si="4"/>
        <v>0</v>
      </c>
      <c r="I38" s="6">
        <f t="shared" si="4"/>
        <v>0</v>
      </c>
      <c r="J38" s="6">
        <f t="shared" si="4"/>
        <v>0</v>
      </c>
      <c r="K38" s="6">
        <f t="shared" si="4"/>
        <v>0</v>
      </c>
      <c r="L38" s="6">
        <f t="shared" si="4"/>
        <v>0</v>
      </c>
      <c r="M38" s="6">
        <f t="shared" si="4"/>
        <v>0</v>
      </c>
      <c r="N38" s="6">
        <f t="shared" si="4"/>
        <v>0</v>
      </c>
      <c r="O38" s="6">
        <f t="shared" si="4"/>
        <v>0</v>
      </c>
      <c r="P38" s="6">
        <f t="shared" si="4"/>
        <v>0</v>
      </c>
      <c r="Q38" s="6">
        <f t="shared" si="4"/>
        <v>0</v>
      </c>
      <c r="R38" s="4">
        <f t="shared" si="4"/>
        <v>0</v>
      </c>
      <c r="S38" s="43">
        <f>D38+R38</f>
        <v>0</v>
      </c>
      <c r="T38" s="43"/>
      <c r="U38" s="36"/>
      <c r="V38" s="36"/>
      <c r="W38" s="36"/>
      <c r="X38" s="36"/>
      <c r="Y38" s="36"/>
      <c r="Z38" s="36"/>
      <c r="AA38" s="36"/>
      <c r="AB38" s="36"/>
    </row>
    <row r="39" spans="2:28" s="165" customFormat="1" ht="6.6" hidden="1" customHeight="1" outlineLevel="1" thickBot="1">
      <c r="B39" s="102"/>
      <c r="C39" s="101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89"/>
      <c r="T39" s="96"/>
      <c r="U39" s="36"/>
      <c r="V39" s="36"/>
      <c r="W39" s="36"/>
      <c r="X39" s="36"/>
      <c r="Y39" s="36"/>
      <c r="Z39" s="36"/>
      <c r="AA39" s="36"/>
      <c r="AB39" s="36"/>
    </row>
    <row r="40" spans="2:28" s="165" customFormat="1" ht="18" collapsed="1">
      <c r="B40" s="90" t="s">
        <v>120</v>
      </c>
      <c r="C40" s="95"/>
      <c r="D40" s="4">
        <f>D18+D37+D38</f>
        <v>698371.90000000037</v>
      </c>
      <c r="E40" s="4"/>
      <c r="F40" s="4">
        <f t="shared" ref="F40:R40" si="5">F18+F37+F38</f>
        <v>0</v>
      </c>
      <c r="G40" s="4">
        <f t="shared" si="5"/>
        <v>0</v>
      </c>
      <c r="H40" s="4">
        <f t="shared" si="5"/>
        <v>0</v>
      </c>
      <c r="I40" s="4">
        <f t="shared" si="5"/>
        <v>0</v>
      </c>
      <c r="J40" s="4">
        <f t="shared" si="5"/>
        <v>0</v>
      </c>
      <c r="K40" s="4">
        <f t="shared" si="5"/>
        <v>0</v>
      </c>
      <c r="L40" s="4">
        <f t="shared" si="5"/>
        <v>0</v>
      </c>
      <c r="M40" s="4">
        <f t="shared" si="5"/>
        <v>0</v>
      </c>
      <c r="N40" s="4">
        <f t="shared" si="5"/>
        <v>0</v>
      </c>
      <c r="O40" s="4">
        <f t="shared" si="5"/>
        <v>-63747</v>
      </c>
      <c r="P40" s="4">
        <f t="shared" si="5"/>
        <v>0</v>
      </c>
      <c r="Q40" s="4">
        <f t="shared" si="5"/>
        <v>-8648</v>
      </c>
      <c r="R40" s="4">
        <f t="shared" si="5"/>
        <v>-72395</v>
      </c>
      <c r="S40" s="43">
        <f>D40+R40</f>
        <v>625976.90000000037</v>
      </c>
      <c r="T40" s="43"/>
      <c r="U40" s="36"/>
      <c r="V40" s="36"/>
      <c r="W40" s="36"/>
      <c r="X40" s="36"/>
      <c r="Y40" s="36"/>
      <c r="Z40" s="36"/>
      <c r="AA40" s="36"/>
      <c r="AB40" s="36"/>
    </row>
    <row r="41" spans="2:28" s="165" customFormat="1" ht="6.6" customHeight="1">
      <c r="B41" s="55"/>
      <c r="C41" s="55"/>
      <c r="D41" s="39"/>
      <c r="E41" s="39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39"/>
      <c r="S41" s="74"/>
      <c r="T41" s="43"/>
      <c r="U41" s="36"/>
      <c r="V41" s="36"/>
      <c r="W41" s="36"/>
      <c r="X41" s="36"/>
      <c r="Y41" s="36"/>
      <c r="Z41" s="36"/>
      <c r="AA41" s="36"/>
      <c r="AB41" s="36"/>
    </row>
    <row r="42" spans="2:28" s="165" customFormat="1" ht="18" hidden="1" outlineLevel="1">
      <c r="B42" s="22" t="s">
        <v>349</v>
      </c>
      <c r="C42" s="22"/>
      <c r="D42" s="48"/>
      <c r="E42" s="48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48"/>
      <c r="S42" s="74"/>
      <c r="T42" s="43"/>
      <c r="U42" s="36"/>
      <c r="V42" s="36"/>
      <c r="W42" s="36"/>
      <c r="X42" s="36"/>
      <c r="Y42" s="36"/>
      <c r="Z42" s="36"/>
      <c r="AA42" s="36"/>
      <c r="AB42" s="36"/>
    </row>
    <row r="43" spans="2:28" s="165" customFormat="1" ht="18" hidden="1" outlineLevel="2">
      <c r="B43" s="53">
        <v>1460</v>
      </c>
      <c r="C43" s="50" t="s">
        <v>374</v>
      </c>
      <c r="D43" s="15">
        <v>64595</v>
      </c>
      <c r="E43" s="15"/>
      <c r="F43" s="5"/>
      <c r="G43" s="5"/>
      <c r="H43" s="5"/>
      <c r="I43" s="5"/>
      <c r="J43" s="5"/>
      <c r="K43" s="5"/>
      <c r="L43" s="5"/>
      <c r="M43" s="5"/>
      <c r="N43" s="5"/>
      <c r="O43" s="5">
        <v>-18550.5</v>
      </c>
      <c r="P43" s="5"/>
      <c r="Q43" s="5"/>
      <c r="R43" s="15">
        <f t="shared" ref="R43:R44" si="6">SUM(F43:Q43)</f>
        <v>-18550.5</v>
      </c>
      <c r="S43" s="43">
        <f t="shared" ref="S43:S44" si="7">D43+R43</f>
        <v>46044.5</v>
      </c>
      <c r="T43" s="43"/>
      <c r="U43" s="36"/>
      <c r="V43" s="36"/>
      <c r="W43" s="36"/>
      <c r="X43" s="36"/>
      <c r="Y43" s="36"/>
      <c r="Z43" s="36"/>
      <c r="AA43" s="36"/>
      <c r="AB43" s="36"/>
    </row>
    <row r="44" spans="2:28" s="165" customFormat="1" ht="18" hidden="1" outlineLevel="2">
      <c r="B44" s="53">
        <v>1499</v>
      </c>
      <c r="C44" s="50" t="s">
        <v>447</v>
      </c>
      <c r="D44" s="15">
        <v>0</v>
      </c>
      <c r="E44" s="1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15">
        <f t="shared" si="6"/>
        <v>0</v>
      </c>
      <c r="S44" s="43">
        <f t="shared" si="7"/>
        <v>0</v>
      </c>
      <c r="T44" s="43"/>
      <c r="U44" s="36"/>
      <c r="V44" s="36"/>
      <c r="W44" s="36"/>
      <c r="X44" s="36"/>
      <c r="Y44" s="36"/>
      <c r="Z44" s="36"/>
      <c r="AA44" s="36"/>
      <c r="AB44" s="36"/>
    </row>
    <row r="45" spans="2:28" s="165" customFormat="1" ht="18" hidden="1" outlineLevel="1" collapsed="1">
      <c r="B45" s="22" t="s">
        <v>1</v>
      </c>
      <c r="C45" s="22"/>
      <c r="D45" s="4">
        <f>SUM(D43:D44)</f>
        <v>64595</v>
      </c>
      <c r="E45" s="4"/>
      <c r="F45" s="6">
        <f t="shared" ref="F45:R45" si="8">SUM(F43:F44)</f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6">
        <f t="shared" si="8"/>
        <v>0</v>
      </c>
      <c r="N45" s="6">
        <f t="shared" si="8"/>
        <v>0</v>
      </c>
      <c r="O45" s="6">
        <f t="shared" si="8"/>
        <v>-18550.5</v>
      </c>
      <c r="P45" s="6">
        <f t="shared" si="8"/>
        <v>0</v>
      </c>
      <c r="Q45" s="6">
        <f t="shared" si="8"/>
        <v>0</v>
      </c>
      <c r="R45" s="4">
        <f t="shared" si="8"/>
        <v>-18550.5</v>
      </c>
      <c r="S45" s="43">
        <f t="shared" ref="S45:S48" si="9">D45+R45</f>
        <v>46044.5</v>
      </c>
      <c r="T45" s="43"/>
      <c r="U45" s="36"/>
      <c r="V45" s="36"/>
      <c r="W45" s="36"/>
      <c r="X45" s="36"/>
      <c r="Y45" s="36"/>
      <c r="Z45" s="36"/>
      <c r="AA45" s="36"/>
      <c r="AB45" s="36"/>
    </row>
    <row r="46" spans="2:28" s="165" customFormat="1" ht="18" hidden="1" outlineLevel="2">
      <c r="B46" s="53">
        <v>1500</v>
      </c>
      <c r="C46" s="50" t="s">
        <v>318</v>
      </c>
      <c r="D46" s="15">
        <v>19600</v>
      </c>
      <c r="E46" s="15"/>
      <c r="F46" s="5"/>
      <c r="G46" s="5"/>
      <c r="H46" s="5">
        <v>-12500</v>
      </c>
      <c r="I46" s="5"/>
      <c r="J46" s="5">
        <v>47302.8</v>
      </c>
      <c r="K46" s="5">
        <v>-38519.06</v>
      </c>
      <c r="L46" s="5">
        <v>-35581.65</v>
      </c>
      <c r="M46" s="5">
        <v>-21145.53</v>
      </c>
      <c r="N46" s="5">
        <v>-15545.93</v>
      </c>
      <c r="O46" s="5">
        <v>56728.02</v>
      </c>
      <c r="P46" s="5">
        <v>-2534.4</v>
      </c>
      <c r="Q46" s="5">
        <v>2195.75</v>
      </c>
      <c r="R46" s="15">
        <f t="shared" ref="R46:R48" si="10">SUM(F46:Q46)</f>
        <v>-19600</v>
      </c>
      <c r="S46" s="43">
        <f t="shared" si="9"/>
        <v>0</v>
      </c>
      <c r="T46" s="43"/>
      <c r="U46" s="36"/>
      <c r="V46" s="36"/>
      <c r="W46" s="36"/>
      <c r="X46" s="36"/>
      <c r="Y46" s="36"/>
      <c r="Z46" s="36"/>
      <c r="AA46" s="36"/>
      <c r="AB46" s="36"/>
    </row>
    <row r="47" spans="2:28" s="165" customFormat="1" ht="18" hidden="1" outlineLevel="2">
      <c r="B47" s="53">
        <v>1571</v>
      </c>
      <c r="C47" s="50" t="s">
        <v>273</v>
      </c>
      <c r="D47" s="15">
        <v>0</v>
      </c>
      <c r="E47" s="1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15">
        <f t="shared" si="10"/>
        <v>0</v>
      </c>
      <c r="S47" s="43">
        <f t="shared" si="9"/>
        <v>0</v>
      </c>
      <c r="T47" s="43"/>
      <c r="U47" s="36"/>
      <c r="V47" s="36"/>
      <c r="W47" s="36"/>
      <c r="X47" s="36"/>
      <c r="Y47" s="36"/>
      <c r="Z47" s="36"/>
      <c r="AA47" s="36"/>
      <c r="AB47" s="36"/>
    </row>
    <row r="48" spans="2:28" s="165" customFormat="1" ht="18" hidden="1" outlineLevel="2">
      <c r="B48" s="53">
        <v>1579</v>
      </c>
      <c r="C48" s="50" t="s">
        <v>483</v>
      </c>
      <c r="D48" s="15">
        <v>0</v>
      </c>
      <c r="E48" s="1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15">
        <f t="shared" si="10"/>
        <v>0</v>
      </c>
      <c r="S48" s="43">
        <f t="shared" si="9"/>
        <v>0</v>
      </c>
      <c r="T48" s="43"/>
      <c r="U48" s="36"/>
      <c r="V48" s="36"/>
      <c r="W48" s="36"/>
      <c r="X48" s="36"/>
      <c r="Y48" s="36"/>
      <c r="Z48" s="36"/>
      <c r="AA48" s="36"/>
      <c r="AB48" s="36"/>
    </row>
    <row r="49" spans="2:28" s="165" customFormat="1" ht="18" hidden="1" outlineLevel="1" collapsed="1">
      <c r="B49" s="22" t="s">
        <v>324</v>
      </c>
      <c r="C49" s="22"/>
      <c r="D49" s="4">
        <f>SUM(D46:D48)</f>
        <v>19600</v>
      </c>
      <c r="E49" s="4"/>
      <c r="F49" s="6">
        <f t="shared" ref="F49:R49" si="11">SUM(F46:F48)</f>
        <v>0</v>
      </c>
      <c r="G49" s="6">
        <f t="shared" si="11"/>
        <v>0</v>
      </c>
      <c r="H49" s="6">
        <f t="shared" si="11"/>
        <v>-12500</v>
      </c>
      <c r="I49" s="6">
        <f t="shared" si="11"/>
        <v>0</v>
      </c>
      <c r="J49" s="6">
        <f t="shared" si="11"/>
        <v>47302.8</v>
      </c>
      <c r="K49" s="6">
        <f t="shared" si="11"/>
        <v>-38519.06</v>
      </c>
      <c r="L49" s="6">
        <f t="shared" si="11"/>
        <v>-35581.65</v>
      </c>
      <c r="M49" s="6">
        <f t="shared" si="11"/>
        <v>-21145.53</v>
      </c>
      <c r="N49" s="6">
        <f t="shared" si="11"/>
        <v>-15545.93</v>
      </c>
      <c r="O49" s="6">
        <f t="shared" si="11"/>
        <v>56728.02</v>
      </c>
      <c r="P49" s="6">
        <f t="shared" si="11"/>
        <v>-2534.4</v>
      </c>
      <c r="Q49" s="6">
        <f t="shared" si="11"/>
        <v>2195.75</v>
      </c>
      <c r="R49" s="4">
        <f t="shared" si="11"/>
        <v>-19600</v>
      </c>
      <c r="S49" s="43">
        <f t="shared" ref="S49:S52" si="12">D49+R49</f>
        <v>0</v>
      </c>
      <c r="T49" s="43"/>
      <c r="U49" s="36"/>
      <c r="V49" s="36"/>
      <c r="W49" s="36"/>
      <c r="X49" s="36"/>
      <c r="Y49" s="36"/>
      <c r="Z49" s="36"/>
      <c r="AA49" s="36"/>
      <c r="AB49" s="36"/>
    </row>
    <row r="50" spans="2:28" s="165" customFormat="1" ht="18" hidden="1" outlineLevel="2">
      <c r="B50" s="53">
        <v>1720</v>
      </c>
      <c r="C50" s="50" t="s">
        <v>375</v>
      </c>
      <c r="D50" s="15">
        <v>0</v>
      </c>
      <c r="E50" s="1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15">
        <f t="shared" ref="R50:R52" si="13">SUM(F50:Q50)</f>
        <v>0</v>
      </c>
      <c r="S50" s="43">
        <f t="shared" si="12"/>
        <v>0</v>
      </c>
      <c r="T50" s="43"/>
      <c r="U50" s="36"/>
      <c r="V50" s="36"/>
      <c r="W50" s="36"/>
      <c r="X50" s="36"/>
      <c r="Y50" s="36"/>
      <c r="Z50" s="36"/>
      <c r="AA50" s="36"/>
      <c r="AB50" s="36"/>
    </row>
    <row r="51" spans="2:28" s="165" customFormat="1" ht="18" hidden="1" outlineLevel="2">
      <c r="B51" s="53">
        <v>1742</v>
      </c>
      <c r="C51" s="50" t="s">
        <v>484</v>
      </c>
      <c r="D51" s="15">
        <v>11007.000400000001</v>
      </c>
      <c r="E51" s="15"/>
      <c r="F51" s="5">
        <v>-11007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>
        <v>12642</v>
      </c>
      <c r="R51" s="15">
        <f t="shared" si="13"/>
        <v>1635</v>
      </c>
      <c r="S51" s="43">
        <f t="shared" si="12"/>
        <v>12642.000400000001</v>
      </c>
      <c r="T51" s="43"/>
      <c r="U51" s="36"/>
      <c r="V51" s="36"/>
      <c r="W51" s="36"/>
      <c r="X51" s="36"/>
      <c r="Y51" s="36"/>
      <c r="Z51" s="36"/>
      <c r="AA51" s="36"/>
      <c r="AB51" s="36"/>
    </row>
    <row r="52" spans="2:28" s="165" customFormat="1" ht="18" hidden="1" outlineLevel="2">
      <c r="B52" s="53">
        <v>1749</v>
      </c>
      <c r="C52" s="50" t="s">
        <v>404</v>
      </c>
      <c r="D52" s="15">
        <v>0</v>
      </c>
      <c r="E52" s="1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15">
        <f t="shared" si="13"/>
        <v>0</v>
      </c>
      <c r="S52" s="43">
        <f t="shared" si="12"/>
        <v>0</v>
      </c>
      <c r="T52" s="43"/>
      <c r="U52" s="36"/>
      <c r="V52" s="36"/>
      <c r="W52" s="36"/>
      <c r="X52" s="36"/>
      <c r="Y52" s="36"/>
      <c r="Z52" s="36"/>
      <c r="AA52" s="36"/>
      <c r="AB52" s="36"/>
    </row>
    <row r="53" spans="2:28" s="165" customFormat="1" ht="18" hidden="1" outlineLevel="1" collapsed="1">
      <c r="B53" s="22" t="s">
        <v>287</v>
      </c>
      <c r="C53" s="22"/>
      <c r="D53" s="4">
        <f>SUM(D50:D52)</f>
        <v>11007.000400000001</v>
      </c>
      <c r="E53" s="4"/>
      <c r="F53" s="6">
        <f t="shared" ref="F53:R53" si="14">SUM(F50:F52)</f>
        <v>-11007</v>
      </c>
      <c r="G53" s="6">
        <f t="shared" si="14"/>
        <v>0</v>
      </c>
      <c r="H53" s="6">
        <f t="shared" si="14"/>
        <v>0</v>
      </c>
      <c r="I53" s="6">
        <f t="shared" si="14"/>
        <v>0</v>
      </c>
      <c r="J53" s="6">
        <f t="shared" si="14"/>
        <v>0</v>
      </c>
      <c r="K53" s="6">
        <f t="shared" si="14"/>
        <v>0</v>
      </c>
      <c r="L53" s="6">
        <f t="shared" si="14"/>
        <v>0</v>
      </c>
      <c r="M53" s="6">
        <f t="shared" si="14"/>
        <v>0</v>
      </c>
      <c r="N53" s="6">
        <f t="shared" si="14"/>
        <v>0</v>
      </c>
      <c r="O53" s="6">
        <f t="shared" si="14"/>
        <v>0</v>
      </c>
      <c r="P53" s="6">
        <f t="shared" si="14"/>
        <v>0</v>
      </c>
      <c r="Q53" s="6">
        <f t="shared" si="14"/>
        <v>12642</v>
      </c>
      <c r="R53" s="4">
        <f t="shared" si="14"/>
        <v>1635</v>
      </c>
      <c r="S53" s="43">
        <f t="shared" ref="S53:S57" si="15">D53+R53</f>
        <v>12642.000400000001</v>
      </c>
      <c r="T53" s="43"/>
      <c r="U53" s="36"/>
      <c r="V53" s="36"/>
      <c r="W53" s="36"/>
      <c r="X53" s="36"/>
      <c r="Y53" s="36"/>
      <c r="Z53" s="36"/>
      <c r="AA53" s="36"/>
      <c r="AB53" s="36"/>
    </row>
    <row r="54" spans="2:28" s="165" customFormat="1" ht="18" hidden="1" outlineLevel="2">
      <c r="B54" s="53">
        <v>1900</v>
      </c>
      <c r="C54" s="50" t="s">
        <v>376</v>
      </c>
      <c r="D54" s="15">
        <v>0</v>
      </c>
      <c r="E54" s="1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15">
        <f t="shared" ref="R54:R57" si="16">SUM(F54:Q54)</f>
        <v>0</v>
      </c>
      <c r="S54" s="43">
        <f t="shared" si="15"/>
        <v>0</v>
      </c>
      <c r="T54" s="43"/>
      <c r="U54" s="36"/>
      <c r="V54" s="36"/>
      <c r="W54" s="36"/>
      <c r="X54" s="36"/>
      <c r="Y54" s="36"/>
      <c r="Z54" s="36"/>
      <c r="AA54" s="36"/>
      <c r="AB54" s="36"/>
    </row>
    <row r="55" spans="2:28" s="165" customFormat="1" ht="18" hidden="1" outlineLevel="2">
      <c r="B55" s="53">
        <v>1920</v>
      </c>
      <c r="C55" s="50" t="s">
        <v>274</v>
      </c>
      <c r="D55" s="15">
        <v>88164.44</v>
      </c>
      <c r="E55" s="15"/>
      <c r="F55" s="5">
        <v>16163.05</v>
      </c>
      <c r="G55" s="5">
        <v>-37901.69</v>
      </c>
      <c r="H55" s="5">
        <v>-18953.96</v>
      </c>
      <c r="I55" s="5">
        <v>17717.09</v>
      </c>
      <c r="J55" s="5">
        <v>116432.71</v>
      </c>
      <c r="K55" s="5">
        <v>68487.240000000005</v>
      </c>
      <c r="L55" s="5">
        <v>52720.78</v>
      </c>
      <c r="M55" s="5">
        <v>-51942.46</v>
      </c>
      <c r="N55" s="5">
        <v>37774.19</v>
      </c>
      <c r="O55" s="5">
        <v>-91260.08</v>
      </c>
      <c r="P55" s="5">
        <v>-61811.63</v>
      </c>
      <c r="Q55" s="5">
        <v>11616.08</v>
      </c>
      <c r="R55" s="15">
        <f t="shared" si="16"/>
        <v>59041.320000000014</v>
      </c>
      <c r="S55" s="43">
        <f t="shared" si="15"/>
        <v>147205.76000000001</v>
      </c>
      <c r="T55" s="43"/>
      <c r="U55" s="36"/>
      <c r="V55" s="36"/>
      <c r="W55" s="36"/>
      <c r="X55" s="36"/>
      <c r="Y55" s="36"/>
      <c r="Z55" s="36"/>
      <c r="AA55" s="36"/>
      <c r="AB55" s="36"/>
    </row>
    <row r="56" spans="2:28" s="165" customFormat="1" ht="18" hidden="1" outlineLevel="2">
      <c r="B56" s="53">
        <v>1923</v>
      </c>
      <c r="C56" s="50" t="s">
        <v>209</v>
      </c>
      <c r="D56" s="15">
        <v>405310.36</v>
      </c>
      <c r="E56" s="1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>
        <v>694.9</v>
      </c>
      <c r="R56" s="15">
        <f t="shared" si="16"/>
        <v>694.9</v>
      </c>
      <c r="S56" s="43">
        <f t="shared" si="15"/>
        <v>406005.26</v>
      </c>
      <c r="T56" s="43"/>
      <c r="U56" s="36"/>
      <c r="V56" s="36"/>
      <c r="W56" s="36"/>
      <c r="X56" s="36"/>
      <c r="Y56" s="36"/>
      <c r="Z56" s="36"/>
      <c r="AA56" s="36"/>
      <c r="AB56" s="36"/>
    </row>
    <row r="57" spans="2:28" s="165" customFormat="1" ht="18" hidden="1" outlineLevel="2">
      <c r="B57" s="53">
        <v>1950</v>
      </c>
      <c r="C57" s="50" t="s">
        <v>178</v>
      </c>
      <c r="D57" s="15">
        <v>2419.25</v>
      </c>
      <c r="E57" s="15"/>
      <c r="F57" s="5">
        <v>-845</v>
      </c>
      <c r="G57" s="5">
        <v>1574</v>
      </c>
      <c r="H57" s="5">
        <v>-1574</v>
      </c>
      <c r="I57" s="5">
        <v>398</v>
      </c>
      <c r="J57" s="5">
        <v>-398</v>
      </c>
      <c r="K57" s="5">
        <v>1574</v>
      </c>
      <c r="L57" s="5">
        <v>-3148</v>
      </c>
      <c r="M57" s="5">
        <v>3879</v>
      </c>
      <c r="N57" s="5">
        <v>-3878</v>
      </c>
      <c r="O57" s="5"/>
      <c r="P57" s="5"/>
      <c r="Q57" s="5">
        <v>-1</v>
      </c>
      <c r="R57" s="15">
        <f t="shared" si="16"/>
        <v>-2419</v>
      </c>
      <c r="S57" s="43">
        <f t="shared" si="15"/>
        <v>0.25</v>
      </c>
      <c r="T57" s="43"/>
      <c r="U57" s="36"/>
      <c r="V57" s="36"/>
      <c r="W57" s="36"/>
      <c r="X57" s="36"/>
      <c r="Y57" s="36"/>
      <c r="Z57" s="36"/>
      <c r="AA57" s="36"/>
      <c r="AB57" s="36"/>
    </row>
    <row r="58" spans="2:28" s="165" customFormat="1" ht="18" hidden="1" outlineLevel="1" collapsed="1">
      <c r="B58" s="22" t="s">
        <v>490</v>
      </c>
      <c r="C58" s="22"/>
      <c r="D58" s="4">
        <f>SUM(D54:D57)</f>
        <v>495894.05</v>
      </c>
      <c r="E58" s="4"/>
      <c r="F58" s="6">
        <f t="shared" ref="F58:R58" si="17">SUM(F54:F57)</f>
        <v>15318.05</v>
      </c>
      <c r="G58" s="6">
        <f t="shared" si="17"/>
        <v>-36327.69</v>
      </c>
      <c r="H58" s="6">
        <f t="shared" si="17"/>
        <v>-20527.96</v>
      </c>
      <c r="I58" s="6">
        <f t="shared" si="17"/>
        <v>18115.09</v>
      </c>
      <c r="J58" s="6">
        <f t="shared" si="17"/>
        <v>116034.71</v>
      </c>
      <c r="K58" s="6">
        <f t="shared" si="17"/>
        <v>70061.240000000005</v>
      </c>
      <c r="L58" s="6">
        <f t="shared" si="17"/>
        <v>49572.78</v>
      </c>
      <c r="M58" s="6">
        <f t="shared" si="17"/>
        <v>-48063.46</v>
      </c>
      <c r="N58" s="6">
        <f t="shared" si="17"/>
        <v>33896.19</v>
      </c>
      <c r="O58" s="6">
        <f t="shared" si="17"/>
        <v>-91260.08</v>
      </c>
      <c r="P58" s="6">
        <f t="shared" si="17"/>
        <v>-61811.63</v>
      </c>
      <c r="Q58" s="6">
        <f t="shared" si="17"/>
        <v>12309.98</v>
      </c>
      <c r="R58" s="4">
        <f t="shared" si="17"/>
        <v>57317.220000000016</v>
      </c>
      <c r="S58" s="43">
        <f>D58+R58</f>
        <v>553211.27</v>
      </c>
      <c r="T58" s="43"/>
      <c r="U58" s="36"/>
      <c r="V58" s="36"/>
      <c r="W58" s="36"/>
      <c r="X58" s="36"/>
      <c r="Y58" s="36"/>
      <c r="Z58" s="36"/>
      <c r="AA58" s="36"/>
      <c r="AB58" s="36"/>
    </row>
    <row r="59" spans="2:28" s="165" customFormat="1" ht="6.6" hidden="1" customHeight="1" outlineLevel="1" thickBot="1">
      <c r="B59" s="102"/>
      <c r="C59" s="101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89"/>
      <c r="T59" s="96"/>
      <c r="U59" s="36"/>
      <c r="V59" s="36"/>
      <c r="W59" s="36"/>
      <c r="X59" s="36"/>
      <c r="Y59" s="36"/>
      <c r="Z59" s="36"/>
      <c r="AA59" s="36"/>
      <c r="AB59" s="36"/>
    </row>
    <row r="60" spans="2:28" s="165" customFormat="1" ht="18" collapsed="1">
      <c r="B60" s="90" t="s">
        <v>509</v>
      </c>
      <c r="C60" s="95"/>
      <c r="D60" s="4">
        <f>D45+D49+D53+D58</f>
        <v>591096.05039999995</v>
      </c>
      <c r="E60" s="4"/>
      <c r="F60" s="4">
        <f t="shared" ref="F60:R60" si="18">F45+F49+F53+F58</f>
        <v>4311.0499999999993</v>
      </c>
      <c r="G60" s="4">
        <f t="shared" si="18"/>
        <v>-36327.69</v>
      </c>
      <c r="H60" s="4">
        <f t="shared" si="18"/>
        <v>-33027.96</v>
      </c>
      <c r="I60" s="4">
        <f t="shared" si="18"/>
        <v>18115.09</v>
      </c>
      <c r="J60" s="4">
        <f t="shared" si="18"/>
        <v>163337.51</v>
      </c>
      <c r="K60" s="4">
        <f t="shared" si="18"/>
        <v>31542.180000000008</v>
      </c>
      <c r="L60" s="4">
        <f t="shared" si="18"/>
        <v>13991.129999999997</v>
      </c>
      <c r="M60" s="4">
        <f t="shared" si="18"/>
        <v>-69208.989999999991</v>
      </c>
      <c r="N60" s="4">
        <f t="shared" si="18"/>
        <v>18350.260000000002</v>
      </c>
      <c r="O60" s="4">
        <f t="shared" si="18"/>
        <v>-53082.560000000005</v>
      </c>
      <c r="P60" s="4">
        <f t="shared" si="18"/>
        <v>-64346.03</v>
      </c>
      <c r="Q60" s="4">
        <f t="shared" si="18"/>
        <v>27147.73</v>
      </c>
      <c r="R60" s="4">
        <f t="shared" si="18"/>
        <v>20801.720000000016</v>
      </c>
      <c r="S60" s="43">
        <f>D60+R60</f>
        <v>611897.77039999992</v>
      </c>
      <c r="T60" s="43"/>
      <c r="U60" s="36"/>
      <c r="V60" s="36"/>
      <c r="W60" s="36"/>
      <c r="X60" s="36"/>
      <c r="Y60" s="36"/>
      <c r="Z60" s="36"/>
      <c r="AA60" s="36"/>
      <c r="AB60" s="36"/>
    </row>
    <row r="61" spans="2:28" s="165" customFormat="1" ht="6.6" customHeight="1" thickBot="1">
      <c r="B61" s="55"/>
      <c r="C61" s="55"/>
      <c r="D61" s="39"/>
      <c r="E61" s="39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39"/>
      <c r="S61" s="74"/>
      <c r="T61" s="43"/>
      <c r="U61" s="36"/>
      <c r="V61" s="36"/>
      <c r="W61" s="36"/>
      <c r="X61" s="36"/>
      <c r="Y61" s="36"/>
      <c r="Z61" s="36"/>
      <c r="AA61" s="36"/>
      <c r="AB61" s="36"/>
    </row>
    <row r="62" spans="2:28" s="165" customFormat="1" ht="21.6" customHeight="1" thickTop="1" thickBot="1">
      <c r="B62" s="137" t="s">
        <v>94</v>
      </c>
      <c r="C62" s="145"/>
      <c r="D62" s="32">
        <f>D40+D60</f>
        <v>1289467.9504000004</v>
      </c>
      <c r="E62" s="32"/>
      <c r="F62" s="32">
        <f t="shared" ref="F62:R62" si="19">F40+F60</f>
        <v>4311.0499999999993</v>
      </c>
      <c r="G62" s="32">
        <f t="shared" si="19"/>
        <v>-36327.69</v>
      </c>
      <c r="H62" s="32">
        <f t="shared" si="19"/>
        <v>-33027.96</v>
      </c>
      <c r="I62" s="32">
        <f t="shared" si="19"/>
        <v>18115.09</v>
      </c>
      <c r="J62" s="32">
        <f t="shared" si="19"/>
        <v>163337.51</v>
      </c>
      <c r="K62" s="32">
        <f t="shared" si="19"/>
        <v>31542.180000000008</v>
      </c>
      <c r="L62" s="32">
        <f t="shared" si="19"/>
        <v>13991.129999999997</v>
      </c>
      <c r="M62" s="32">
        <f t="shared" si="19"/>
        <v>-69208.989999999991</v>
      </c>
      <c r="N62" s="32">
        <f t="shared" si="19"/>
        <v>18350.260000000002</v>
      </c>
      <c r="O62" s="32">
        <f t="shared" si="19"/>
        <v>-116829.56</v>
      </c>
      <c r="P62" s="32">
        <f t="shared" si="19"/>
        <v>-64346.03</v>
      </c>
      <c r="Q62" s="32">
        <f t="shared" si="19"/>
        <v>18499.73</v>
      </c>
      <c r="R62" s="32">
        <f t="shared" si="19"/>
        <v>-51593.279999999984</v>
      </c>
      <c r="S62" s="86">
        <f>D62+R62</f>
        <v>1237874.6704000004</v>
      </c>
      <c r="T62" s="86"/>
      <c r="U62" s="36"/>
      <c r="V62" s="36"/>
      <c r="W62" s="36"/>
      <c r="X62" s="36"/>
      <c r="Y62" s="36"/>
      <c r="Z62" s="36"/>
      <c r="AA62" s="36"/>
      <c r="AB62" s="36"/>
    </row>
    <row r="63" spans="2:28" s="165" customFormat="1" ht="18.75" thickTop="1"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162"/>
      <c r="T63" s="43"/>
    </row>
    <row r="64" spans="2:28" s="165" customFormat="1" ht="6.6" customHeight="1">
      <c r="B64" s="55"/>
      <c r="C64" s="55"/>
      <c r="D64" s="39"/>
      <c r="E64" s="39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39"/>
      <c r="S64" s="74"/>
      <c r="T64" s="43"/>
      <c r="U64" s="36"/>
      <c r="V64" s="36"/>
      <c r="W64" s="36"/>
      <c r="X64" s="36"/>
      <c r="Y64" s="36"/>
      <c r="Z64" s="36"/>
      <c r="AA64" s="36"/>
      <c r="AB64" s="36"/>
    </row>
    <row r="65" spans="2:28" s="165" customFormat="1" ht="18">
      <c r="B65" s="22" t="s">
        <v>232</v>
      </c>
      <c r="C65" s="22"/>
      <c r="D65" s="48"/>
      <c r="E65" s="48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48"/>
      <c r="S65" s="74"/>
      <c r="T65" s="43"/>
      <c r="U65" s="36"/>
      <c r="V65" s="36"/>
      <c r="W65" s="36"/>
      <c r="X65" s="36"/>
      <c r="Y65" s="36"/>
      <c r="Z65" s="36"/>
      <c r="AA65" s="36"/>
      <c r="AB65" s="36"/>
    </row>
    <row r="66" spans="2:28" s="165" customFormat="1" ht="6.6" customHeight="1">
      <c r="B66" s="22"/>
      <c r="C66" s="22"/>
      <c r="D66" s="48"/>
      <c r="E66" s="48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48"/>
      <c r="S66" s="74"/>
      <c r="T66" s="43"/>
      <c r="U66" s="36"/>
      <c r="V66" s="36"/>
      <c r="W66" s="36"/>
      <c r="X66" s="36"/>
      <c r="Y66" s="36"/>
      <c r="Z66" s="36"/>
      <c r="AA66" s="36"/>
      <c r="AB66" s="36"/>
    </row>
    <row r="67" spans="2:28" s="165" customFormat="1" ht="18" hidden="1" outlineLevel="1">
      <c r="B67" s="22" t="s">
        <v>350</v>
      </c>
      <c r="C67" s="22"/>
      <c r="D67" s="48"/>
      <c r="E67" s="48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48"/>
      <c r="S67" s="74"/>
      <c r="T67" s="43"/>
      <c r="U67" s="36"/>
      <c r="V67" s="36"/>
      <c r="W67" s="36"/>
      <c r="X67" s="36"/>
      <c r="Y67" s="36"/>
      <c r="Z67" s="36"/>
      <c r="AA67" s="36"/>
      <c r="AB67" s="36"/>
    </row>
    <row r="68" spans="2:28" s="165" customFormat="1" ht="18" hidden="1" outlineLevel="2">
      <c r="B68" s="53">
        <v>2001</v>
      </c>
      <c r="C68" s="50" t="s">
        <v>126</v>
      </c>
      <c r="D68" s="15">
        <v>-1914000</v>
      </c>
      <c r="E68" s="15"/>
      <c r="F68" s="5"/>
      <c r="G68" s="5"/>
      <c r="H68" s="5"/>
      <c r="I68" s="5"/>
      <c r="J68" s="5"/>
      <c r="K68" s="5">
        <v>-500</v>
      </c>
      <c r="L68" s="5"/>
      <c r="M68" s="5"/>
      <c r="N68" s="5"/>
      <c r="O68" s="5"/>
      <c r="P68" s="5"/>
      <c r="Q68" s="5"/>
      <c r="R68" s="15">
        <f>SUM(F68:Q68)</f>
        <v>-500</v>
      </c>
      <c r="S68" s="43">
        <f t="shared" ref="S68:S72" si="20">D68+R68</f>
        <v>-1914500</v>
      </c>
      <c r="T68" s="43"/>
      <c r="U68" s="36"/>
      <c r="V68" s="36"/>
      <c r="W68" s="36"/>
      <c r="X68" s="36"/>
      <c r="Y68" s="36"/>
      <c r="Z68" s="36"/>
      <c r="AA68" s="36"/>
      <c r="AB68" s="36"/>
    </row>
    <row r="69" spans="2:28" s="165" customFormat="1" ht="18" hidden="1" outlineLevel="1" collapsed="1">
      <c r="B69" s="22" t="s">
        <v>351</v>
      </c>
      <c r="C69" s="22"/>
      <c r="D69" s="4">
        <f>SUM(D68)</f>
        <v>-1914000</v>
      </c>
      <c r="E69" s="4"/>
      <c r="F69" s="6">
        <f t="shared" ref="F69:R69" si="21">SUM(F68)</f>
        <v>0</v>
      </c>
      <c r="G69" s="6">
        <f t="shared" si="21"/>
        <v>0</v>
      </c>
      <c r="H69" s="6">
        <f t="shared" si="21"/>
        <v>0</v>
      </c>
      <c r="I69" s="6">
        <f t="shared" si="21"/>
        <v>0</v>
      </c>
      <c r="J69" s="6">
        <f t="shared" si="21"/>
        <v>0</v>
      </c>
      <c r="K69" s="6">
        <f t="shared" si="21"/>
        <v>-500</v>
      </c>
      <c r="L69" s="6">
        <f t="shared" si="21"/>
        <v>0</v>
      </c>
      <c r="M69" s="6">
        <f t="shared" si="21"/>
        <v>0</v>
      </c>
      <c r="N69" s="6">
        <f t="shared" si="21"/>
        <v>0</v>
      </c>
      <c r="O69" s="6">
        <f t="shared" si="21"/>
        <v>0</v>
      </c>
      <c r="P69" s="6">
        <f t="shared" si="21"/>
        <v>0</v>
      </c>
      <c r="Q69" s="6">
        <f t="shared" si="21"/>
        <v>0</v>
      </c>
      <c r="R69" s="4">
        <f t="shared" si="21"/>
        <v>-500</v>
      </c>
      <c r="S69" s="43">
        <f t="shared" si="20"/>
        <v>-1914500</v>
      </c>
      <c r="T69" s="43"/>
      <c r="U69" s="36"/>
      <c r="V69" s="36"/>
      <c r="W69" s="36"/>
      <c r="X69" s="36"/>
      <c r="Y69" s="36"/>
      <c r="Z69" s="36"/>
      <c r="AA69" s="36"/>
      <c r="AB69" s="36"/>
    </row>
    <row r="70" spans="2:28" s="165" customFormat="1" ht="18" hidden="1" outlineLevel="2">
      <c r="B70" s="53">
        <v>2050</v>
      </c>
      <c r="C70" s="50" t="s">
        <v>342</v>
      </c>
      <c r="D70" s="15">
        <v>618748.82999999996</v>
      </c>
      <c r="E70" s="1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15">
        <f>SUM(F70:Q70)</f>
        <v>0</v>
      </c>
      <c r="S70" s="43">
        <f t="shared" si="20"/>
        <v>618748.82999999996</v>
      </c>
      <c r="T70" s="43"/>
      <c r="U70" s="36"/>
      <c r="V70" s="36"/>
      <c r="W70" s="36"/>
      <c r="X70" s="36"/>
      <c r="Y70" s="36"/>
      <c r="Z70" s="36"/>
      <c r="AA70" s="36"/>
      <c r="AB70" s="36"/>
    </row>
    <row r="71" spans="2:28" s="165" customFormat="1" ht="18" hidden="1" outlineLevel="1" collapsed="1">
      <c r="B71" s="22" t="s">
        <v>325</v>
      </c>
      <c r="C71" s="22"/>
      <c r="D71" s="4">
        <f>SUM(D70)</f>
        <v>618748.82999999996</v>
      </c>
      <c r="E71" s="4"/>
      <c r="F71" s="6">
        <f t="shared" ref="F71:R71" si="22">SUM(F70)</f>
        <v>0</v>
      </c>
      <c r="G71" s="6">
        <f t="shared" si="22"/>
        <v>0</v>
      </c>
      <c r="H71" s="6">
        <f t="shared" si="22"/>
        <v>0</v>
      </c>
      <c r="I71" s="6">
        <f t="shared" si="22"/>
        <v>0</v>
      </c>
      <c r="J71" s="6">
        <f t="shared" si="22"/>
        <v>0</v>
      </c>
      <c r="K71" s="6">
        <f t="shared" si="22"/>
        <v>0</v>
      </c>
      <c r="L71" s="6">
        <f t="shared" si="22"/>
        <v>0</v>
      </c>
      <c r="M71" s="6">
        <f t="shared" si="22"/>
        <v>0</v>
      </c>
      <c r="N71" s="6">
        <f t="shared" si="22"/>
        <v>0</v>
      </c>
      <c r="O71" s="6">
        <f t="shared" si="22"/>
        <v>0</v>
      </c>
      <c r="P71" s="6">
        <f t="shared" si="22"/>
        <v>0</v>
      </c>
      <c r="Q71" s="6">
        <f t="shared" si="22"/>
        <v>0</v>
      </c>
      <c r="R71" s="4">
        <f t="shared" si="22"/>
        <v>0</v>
      </c>
      <c r="S71" s="43">
        <f t="shared" si="20"/>
        <v>618748.82999999996</v>
      </c>
      <c r="T71" s="43"/>
      <c r="U71" s="36"/>
      <c r="V71" s="36"/>
      <c r="W71" s="36"/>
      <c r="X71" s="36"/>
      <c r="Y71" s="36"/>
      <c r="Z71" s="36"/>
      <c r="AA71" s="36"/>
      <c r="AB71" s="36"/>
    </row>
    <row r="72" spans="2:28" s="165" customFormat="1" ht="18" hidden="1" outlineLevel="1">
      <c r="B72" s="50" t="s">
        <v>130</v>
      </c>
      <c r="C72" s="50"/>
      <c r="D72" s="15">
        <v>70823.240699999995</v>
      </c>
      <c r="E72" s="15"/>
      <c r="F72" s="5">
        <v>3015.23</v>
      </c>
      <c r="G72" s="5">
        <v>8684.2000000000007</v>
      </c>
      <c r="H72" s="5">
        <v>32241.51</v>
      </c>
      <c r="I72" s="5">
        <v>-23668.14</v>
      </c>
      <c r="J72" s="5">
        <v>-127403.73</v>
      </c>
      <c r="K72" s="5">
        <v>34289.805999999997</v>
      </c>
      <c r="L72" s="5">
        <v>16519.694</v>
      </c>
      <c r="M72" s="5">
        <v>-26349.232</v>
      </c>
      <c r="N72" s="5">
        <v>-18352.682000000001</v>
      </c>
      <c r="O72" s="5">
        <v>113910.982</v>
      </c>
      <c r="P72" s="5">
        <v>14147.888000000001</v>
      </c>
      <c r="Q72" s="5">
        <v>-17275.09</v>
      </c>
      <c r="R72" s="15">
        <f>SUM(F72:Q72)</f>
        <v>9760.4360000000052</v>
      </c>
      <c r="S72" s="43">
        <f t="shared" si="20"/>
        <v>80583.676699999996</v>
      </c>
      <c r="T72" s="43"/>
      <c r="U72" s="36"/>
      <c r="V72" s="36"/>
      <c r="W72" s="36"/>
      <c r="X72" s="36"/>
      <c r="Y72" s="36"/>
      <c r="Z72" s="36"/>
      <c r="AA72" s="36"/>
      <c r="AB72" s="36"/>
    </row>
    <row r="73" spans="2:28" s="165" customFormat="1" ht="6.6" hidden="1" customHeight="1" outlineLevel="1" thickBot="1">
      <c r="B73" s="102"/>
      <c r="C73" s="101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89"/>
      <c r="T73" s="96"/>
      <c r="U73" s="36"/>
      <c r="V73" s="36"/>
      <c r="W73" s="36"/>
      <c r="X73" s="36"/>
      <c r="Y73" s="36"/>
      <c r="Z73" s="36"/>
      <c r="AA73" s="36"/>
      <c r="AB73" s="36"/>
    </row>
    <row r="74" spans="2:28" s="165" customFormat="1" ht="18" collapsed="1">
      <c r="B74" s="90" t="s">
        <v>83</v>
      </c>
      <c r="C74" s="95"/>
      <c r="D74" s="4">
        <f>D69+D71+D72</f>
        <v>-1224427.9293</v>
      </c>
      <c r="E74" s="4"/>
      <c r="F74" s="4">
        <f t="shared" ref="F74:R74" si="23">F69+F71+F72</f>
        <v>3015.23</v>
      </c>
      <c r="G74" s="4">
        <f t="shared" si="23"/>
        <v>8684.2000000000007</v>
      </c>
      <c r="H74" s="4">
        <f t="shared" si="23"/>
        <v>32241.51</v>
      </c>
      <c r="I74" s="4">
        <f t="shared" si="23"/>
        <v>-23668.14</v>
      </c>
      <c r="J74" s="4">
        <f t="shared" si="23"/>
        <v>-127403.73</v>
      </c>
      <c r="K74" s="4">
        <f t="shared" si="23"/>
        <v>33789.805999999997</v>
      </c>
      <c r="L74" s="4">
        <f t="shared" si="23"/>
        <v>16519.694</v>
      </c>
      <c r="M74" s="4">
        <f t="shared" si="23"/>
        <v>-26349.232</v>
      </c>
      <c r="N74" s="4">
        <f t="shared" si="23"/>
        <v>-18352.682000000001</v>
      </c>
      <c r="O74" s="4">
        <f t="shared" si="23"/>
        <v>113910.982</v>
      </c>
      <c r="P74" s="4">
        <f t="shared" si="23"/>
        <v>14147.888000000001</v>
      </c>
      <c r="Q74" s="4">
        <f t="shared" si="23"/>
        <v>-17275.09</v>
      </c>
      <c r="R74" s="4">
        <f t="shared" si="23"/>
        <v>9260.4360000000052</v>
      </c>
      <c r="S74" s="43">
        <f>D74+R74</f>
        <v>-1215167.4933</v>
      </c>
      <c r="T74" s="43"/>
      <c r="U74" s="36"/>
      <c r="V74" s="36"/>
      <c r="W74" s="36"/>
      <c r="X74" s="36"/>
      <c r="Y74" s="36"/>
      <c r="Z74" s="36"/>
      <c r="AA74" s="36"/>
      <c r="AB74" s="36"/>
    </row>
    <row r="75" spans="2:28" s="165" customFormat="1" ht="6.6" customHeight="1">
      <c r="B75" s="55"/>
      <c r="C75" s="55"/>
      <c r="D75" s="39"/>
      <c r="E75" s="39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39"/>
      <c r="S75" s="74"/>
      <c r="T75" s="43"/>
      <c r="U75" s="36"/>
      <c r="V75" s="36"/>
      <c r="W75" s="36"/>
      <c r="X75" s="36"/>
      <c r="Y75" s="36"/>
      <c r="Z75" s="36"/>
      <c r="AA75" s="36"/>
      <c r="AB75" s="36"/>
    </row>
    <row r="76" spans="2:28" s="165" customFormat="1" ht="18" hidden="1" outlineLevel="1">
      <c r="B76" s="22" t="s">
        <v>216</v>
      </c>
      <c r="C76" s="22"/>
      <c r="D76" s="48"/>
      <c r="E76" s="48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48"/>
      <c r="S76" s="74"/>
      <c r="T76" s="43"/>
      <c r="U76" s="36"/>
      <c r="V76" s="36"/>
      <c r="W76" s="36"/>
      <c r="X76" s="36"/>
      <c r="Y76" s="36"/>
      <c r="Z76" s="36"/>
      <c r="AA76" s="36"/>
      <c r="AB76" s="36"/>
    </row>
    <row r="77" spans="2:28" s="165" customFormat="1" ht="18" hidden="1" outlineLevel="1">
      <c r="B77" s="22" t="s">
        <v>520</v>
      </c>
      <c r="C77" s="22"/>
      <c r="D77" s="4">
        <f>SUM(0)</f>
        <v>0</v>
      </c>
      <c r="E77" s="4"/>
      <c r="F77" s="6">
        <f t="shared" ref="F77:R77" si="24">SUM(0)</f>
        <v>0</v>
      </c>
      <c r="G77" s="6">
        <f t="shared" si="24"/>
        <v>0</v>
      </c>
      <c r="H77" s="6">
        <f t="shared" si="24"/>
        <v>0</v>
      </c>
      <c r="I77" s="6">
        <f t="shared" si="24"/>
        <v>0</v>
      </c>
      <c r="J77" s="6">
        <f t="shared" si="24"/>
        <v>0</v>
      </c>
      <c r="K77" s="6">
        <f t="shared" si="24"/>
        <v>0</v>
      </c>
      <c r="L77" s="6">
        <f t="shared" si="24"/>
        <v>0</v>
      </c>
      <c r="M77" s="6">
        <f t="shared" si="24"/>
        <v>0</v>
      </c>
      <c r="N77" s="6">
        <f t="shared" si="24"/>
        <v>0</v>
      </c>
      <c r="O77" s="6">
        <f t="shared" si="24"/>
        <v>0</v>
      </c>
      <c r="P77" s="6">
        <f t="shared" si="24"/>
        <v>0</v>
      </c>
      <c r="Q77" s="6">
        <f t="shared" si="24"/>
        <v>0</v>
      </c>
      <c r="R77" s="4">
        <f t="shared" si="24"/>
        <v>0</v>
      </c>
      <c r="S77" s="43">
        <f>D77+R77</f>
        <v>0</v>
      </c>
      <c r="T77" s="43"/>
      <c r="U77" s="36"/>
      <c r="V77" s="36"/>
      <c r="W77" s="36"/>
      <c r="X77" s="36"/>
      <c r="Y77" s="36"/>
      <c r="Z77" s="36"/>
      <c r="AA77" s="36"/>
      <c r="AB77" s="36"/>
    </row>
    <row r="78" spans="2:28" s="165" customFormat="1" ht="18" hidden="1" outlineLevel="1">
      <c r="B78" s="22" t="s">
        <v>217</v>
      </c>
      <c r="C78" s="22"/>
      <c r="D78" s="4">
        <f>SUM(0)</f>
        <v>0</v>
      </c>
      <c r="E78" s="4"/>
      <c r="F78" s="6">
        <f t="shared" ref="F78:R78" si="25">SUM(0)</f>
        <v>0</v>
      </c>
      <c r="G78" s="6">
        <f t="shared" si="25"/>
        <v>0</v>
      </c>
      <c r="H78" s="6">
        <f t="shared" si="25"/>
        <v>0</v>
      </c>
      <c r="I78" s="6">
        <f t="shared" si="25"/>
        <v>0</v>
      </c>
      <c r="J78" s="6">
        <f t="shared" si="25"/>
        <v>0</v>
      </c>
      <c r="K78" s="6">
        <f t="shared" si="25"/>
        <v>0</v>
      </c>
      <c r="L78" s="6">
        <f t="shared" si="25"/>
        <v>0</v>
      </c>
      <c r="M78" s="6">
        <f t="shared" si="25"/>
        <v>0</v>
      </c>
      <c r="N78" s="6">
        <f t="shared" si="25"/>
        <v>0</v>
      </c>
      <c r="O78" s="6">
        <f t="shared" si="25"/>
        <v>0</v>
      </c>
      <c r="P78" s="6">
        <f t="shared" si="25"/>
        <v>0</v>
      </c>
      <c r="Q78" s="6">
        <f t="shared" si="25"/>
        <v>0</v>
      </c>
      <c r="R78" s="4">
        <f t="shared" si="25"/>
        <v>0</v>
      </c>
      <c r="S78" s="43">
        <f t="shared" ref="S78:S97" si="26">D78+R78</f>
        <v>0</v>
      </c>
      <c r="T78" s="43"/>
      <c r="U78" s="36"/>
      <c r="V78" s="36"/>
      <c r="W78" s="36"/>
      <c r="X78" s="36"/>
      <c r="Y78" s="36"/>
      <c r="Z78" s="36"/>
      <c r="AA78" s="36"/>
      <c r="AB78" s="36"/>
    </row>
    <row r="79" spans="2:28" s="165" customFormat="1" ht="18" hidden="1" outlineLevel="2">
      <c r="B79" s="53">
        <v>2399</v>
      </c>
      <c r="C79" s="50" t="s">
        <v>33</v>
      </c>
      <c r="D79" s="15">
        <v>0</v>
      </c>
      <c r="E79" s="1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15">
        <f t="shared" ref="R79:R97" si="27">SUM(F79:Q79)</f>
        <v>0</v>
      </c>
      <c r="S79" s="43">
        <f t="shared" si="26"/>
        <v>0</v>
      </c>
      <c r="T79" s="43"/>
      <c r="U79" s="36"/>
      <c r="V79" s="36"/>
      <c r="W79" s="36"/>
      <c r="X79" s="36"/>
      <c r="Y79" s="36"/>
      <c r="Z79" s="36"/>
      <c r="AA79" s="36"/>
      <c r="AB79" s="36"/>
    </row>
    <row r="80" spans="2:28" s="165" customFormat="1" ht="18" hidden="1" outlineLevel="2">
      <c r="B80" s="53">
        <v>2400</v>
      </c>
      <c r="C80" s="50" t="s">
        <v>405</v>
      </c>
      <c r="D80" s="15">
        <v>-3992.68</v>
      </c>
      <c r="E80" s="15"/>
      <c r="F80" s="5">
        <v>-60944.57</v>
      </c>
      <c r="G80" s="5">
        <v>33966.39</v>
      </c>
      <c r="H80" s="5">
        <v>-976.82</v>
      </c>
      <c r="I80" s="5">
        <v>-8326.1299999999992</v>
      </c>
      <c r="J80" s="5">
        <v>-3738.89</v>
      </c>
      <c r="K80" s="5">
        <v>-69937.39</v>
      </c>
      <c r="L80" s="5">
        <v>-35547.68</v>
      </c>
      <c r="M80" s="5">
        <v>107584.47</v>
      </c>
      <c r="N80" s="5">
        <v>-5778.95</v>
      </c>
      <c r="O80" s="5">
        <v>-4777.93</v>
      </c>
      <c r="P80" s="5">
        <v>48137.07</v>
      </c>
      <c r="Q80" s="5">
        <v>-1712.82</v>
      </c>
      <c r="R80" s="15">
        <f t="shared" si="27"/>
        <v>-2053.2499999999927</v>
      </c>
      <c r="S80" s="43">
        <f t="shared" si="26"/>
        <v>-6045.929999999993</v>
      </c>
      <c r="T80" s="43"/>
      <c r="U80" s="36"/>
      <c r="V80" s="36"/>
      <c r="W80" s="36"/>
      <c r="X80" s="36"/>
      <c r="Y80" s="36"/>
      <c r="Z80" s="36"/>
      <c r="AA80" s="36"/>
      <c r="AB80" s="36"/>
    </row>
    <row r="81" spans="2:28" s="165" customFormat="1" ht="18" hidden="1" outlineLevel="2">
      <c r="B81" s="53">
        <v>2600</v>
      </c>
      <c r="C81" s="50" t="s">
        <v>63</v>
      </c>
      <c r="D81" s="15">
        <v>-2419</v>
      </c>
      <c r="E81" s="15"/>
      <c r="F81" s="5">
        <v>845</v>
      </c>
      <c r="G81" s="5">
        <v>-1574</v>
      </c>
      <c r="H81" s="5">
        <v>1574</v>
      </c>
      <c r="I81" s="5">
        <v>-398</v>
      </c>
      <c r="J81" s="5">
        <v>398</v>
      </c>
      <c r="K81" s="5">
        <v>-1574</v>
      </c>
      <c r="L81" s="5">
        <v>3148</v>
      </c>
      <c r="M81" s="5">
        <v>-3879</v>
      </c>
      <c r="N81" s="5">
        <v>3879</v>
      </c>
      <c r="O81" s="5"/>
      <c r="P81" s="5"/>
      <c r="Q81" s="5"/>
      <c r="R81" s="15">
        <f t="shared" si="27"/>
        <v>2419</v>
      </c>
      <c r="S81" s="43">
        <f t="shared" si="26"/>
        <v>0</v>
      </c>
      <c r="T81" s="43"/>
      <c r="U81" s="36"/>
      <c r="V81" s="36"/>
      <c r="W81" s="36"/>
      <c r="X81" s="36"/>
      <c r="Y81" s="36"/>
      <c r="Z81" s="36"/>
      <c r="AA81" s="36"/>
      <c r="AB81" s="36"/>
    </row>
    <row r="82" spans="2:28" s="165" customFormat="1" ht="18" hidden="1" outlineLevel="2">
      <c r="B82" s="53">
        <v>2700</v>
      </c>
      <c r="C82" s="50" t="s">
        <v>542</v>
      </c>
      <c r="D82" s="15">
        <v>0</v>
      </c>
      <c r="E82" s="15"/>
      <c r="F82" s="5"/>
      <c r="G82" s="5"/>
      <c r="H82" s="5"/>
      <c r="I82" s="5"/>
      <c r="J82" s="5">
        <v>-33750</v>
      </c>
      <c r="K82" s="5">
        <v>-3380.6</v>
      </c>
      <c r="L82" s="5">
        <v>-4397.6000000000004</v>
      </c>
      <c r="M82" s="5">
        <v>-5606.2</v>
      </c>
      <c r="N82" s="5">
        <v>-2167.04</v>
      </c>
      <c r="O82" s="5">
        <v>910.8</v>
      </c>
      <c r="P82" s="5"/>
      <c r="Q82" s="5"/>
      <c r="R82" s="15">
        <f t="shared" si="27"/>
        <v>-48390.639999999992</v>
      </c>
      <c r="S82" s="43">
        <f t="shared" si="26"/>
        <v>-48390.639999999992</v>
      </c>
      <c r="T82" s="43"/>
      <c r="U82" s="36"/>
      <c r="V82" s="36"/>
      <c r="W82" s="36"/>
      <c r="X82" s="36"/>
      <c r="Y82" s="36"/>
      <c r="Z82" s="36"/>
      <c r="AA82" s="36"/>
      <c r="AB82" s="36"/>
    </row>
    <row r="83" spans="2:28" s="165" customFormat="1" ht="18" hidden="1" outlineLevel="2">
      <c r="B83" s="53">
        <v>2703</v>
      </c>
      <c r="C83" s="50" t="s">
        <v>448</v>
      </c>
      <c r="D83" s="15">
        <v>0</v>
      </c>
      <c r="E83" s="1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15">
        <f t="shared" si="27"/>
        <v>0</v>
      </c>
      <c r="S83" s="43">
        <f t="shared" si="26"/>
        <v>0</v>
      </c>
      <c r="T83" s="43"/>
      <c r="U83" s="36"/>
      <c r="V83" s="36"/>
      <c r="W83" s="36"/>
      <c r="X83" s="36"/>
      <c r="Y83" s="36"/>
      <c r="Z83" s="36"/>
      <c r="AA83" s="36"/>
      <c r="AB83" s="36"/>
    </row>
    <row r="84" spans="2:28" s="165" customFormat="1" ht="18" hidden="1" outlineLevel="2">
      <c r="B84" s="53">
        <v>2705</v>
      </c>
      <c r="C84" s="50" t="s">
        <v>343</v>
      </c>
      <c r="D84" s="15">
        <v>-2.5000000000000001E-3</v>
      </c>
      <c r="E84" s="1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15">
        <f t="shared" si="27"/>
        <v>0</v>
      </c>
      <c r="S84" s="43">
        <f t="shared" si="26"/>
        <v>-2.5000000000000001E-3</v>
      </c>
      <c r="T84" s="43"/>
      <c r="U84" s="36"/>
      <c r="V84" s="36"/>
      <c r="W84" s="36"/>
      <c r="X84" s="36"/>
      <c r="Y84" s="36"/>
      <c r="Z84" s="36"/>
      <c r="AA84" s="36"/>
      <c r="AB84" s="36"/>
    </row>
    <row r="85" spans="2:28" s="165" customFormat="1" ht="18" hidden="1" outlineLevel="2">
      <c r="B85" s="53">
        <v>2710</v>
      </c>
      <c r="C85" s="50" t="s">
        <v>210</v>
      </c>
      <c r="D85" s="15">
        <v>0</v>
      </c>
      <c r="E85" s="15"/>
      <c r="F85" s="5">
        <v>5525.87</v>
      </c>
      <c r="G85" s="5">
        <v>578.67999999999995</v>
      </c>
      <c r="H85" s="5">
        <v>419.85</v>
      </c>
      <c r="I85" s="5">
        <v>2337.4499999999998</v>
      </c>
      <c r="J85" s="5">
        <v>880.69</v>
      </c>
      <c r="K85" s="5">
        <v>11308.58</v>
      </c>
      <c r="L85" s="5">
        <v>6286.46</v>
      </c>
      <c r="M85" s="5">
        <v>2196.19</v>
      </c>
      <c r="N85" s="5">
        <v>2871.97</v>
      </c>
      <c r="O85" s="5">
        <v>6211.71</v>
      </c>
      <c r="P85" s="5">
        <v>1274.48</v>
      </c>
      <c r="Q85" s="5">
        <v>488.18</v>
      </c>
      <c r="R85" s="15">
        <f t="shared" si="27"/>
        <v>40380.110000000008</v>
      </c>
      <c r="S85" s="43">
        <f t="shared" si="26"/>
        <v>40380.110000000008</v>
      </c>
      <c r="T85" s="43"/>
      <c r="U85" s="36"/>
      <c r="V85" s="36"/>
      <c r="W85" s="36"/>
      <c r="X85" s="36"/>
      <c r="Y85" s="36"/>
      <c r="Z85" s="36"/>
      <c r="AA85" s="36"/>
      <c r="AB85" s="36"/>
    </row>
    <row r="86" spans="2:28" s="165" customFormat="1" ht="18" hidden="1" outlineLevel="2">
      <c r="B86" s="53">
        <v>2712</v>
      </c>
      <c r="C86" s="50" t="s">
        <v>344</v>
      </c>
      <c r="D86" s="15">
        <v>0</v>
      </c>
      <c r="E86" s="1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15">
        <f t="shared" si="27"/>
        <v>0</v>
      </c>
      <c r="S86" s="43">
        <f t="shared" si="26"/>
        <v>0</v>
      </c>
      <c r="T86" s="43"/>
      <c r="U86" s="36"/>
      <c r="V86" s="36"/>
      <c r="W86" s="36"/>
      <c r="X86" s="36"/>
      <c r="Y86" s="36"/>
      <c r="Z86" s="36"/>
      <c r="AA86" s="36"/>
      <c r="AB86" s="36"/>
    </row>
    <row r="87" spans="2:28" s="165" customFormat="1" ht="18" hidden="1" outlineLevel="2">
      <c r="B87" s="53">
        <v>2715</v>
      </c>
      <c r="C87" s="50" t="s">
        <v>242</v>
      </c>
      <c r="D87" s="15">
        <v>-3.8999999999999998E-3</v>
      </c>
      <c r="E87" s="1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15">
        <f t="shared" si="27"/>
        <v>0</v>
      </c>
      <c r="S87" s="43">
        <f t="shared" si="26"/>
        <v>-3.8999999999999998E-3</v>
      </c>
      <c r="T87" s="43"/>
      <c r="U87" s="36"/>
      <c r="V87" s="36"/>
      <c r="W87" s="36"/>
      <c r="X87" s="36"/>
      <c r="Y87" s="36"/>
      <c r="Z87" s="36"/>
      <c r="AA87" s="36"/>
      <c r="AB87" s="36"/>
    </row>
    <row r="88" spans="2:28" s="165" customFormat="1" ht="18" hidden="1" outlineLevel="2">
      <c r="B88" s="53">
        <v>2740</v>
      </c>
      <c r="C88" s="50" t="s">
        <v>34</v>
      </c>
      <c r="D88" s="15">
        <v>3578</v>
      </c>
      <c r="E88" s="15"/>
      <c r="F88" s="5"/>
      <c r="G88" s="5">
        <v>-3579</v>
      </c>
      <c r="H88" s="5"/>
      <c r="I88" s="5"/>
      <c r="J88" s="5"/>
      <c r="K88" s="5"/>
      <c r="L88" s="5"/>
      <c r="M88" s="5"/>
      <c r="N88" s="5"/>
      <c r="O88" s="5"/>
      <c r="P88" s="5"/>
      <c r="Q88" s="5"/>
      <c r="R88" s="15">
        <f t="shared" si="27"/>
        <v>-3579</v>
      </c>
      <c r="S88" s="43">
        <f t="shared" si="26"/>
        <v>-1</v>
      </c>
      <c r="T88" s="43"/>
      <c r="U88" s="36"/>
      <c r="V88" s="36"/>
      <c r="W88" s="36"/>
      <c r="X88" s="36"/>
      <c r="Y88" s="36"/>
      <c r="Z88" s="36"/>
      <c r="AA88" s="36"/>
      <c r="AB88" s="36"/>
    </row>
    <row r="89" spans="2:28" s="165" customFormat="1" ht="18" hidden="1" outlineLevel="2">
      <c r="B89" s="53">
        <v>2770</v>
      </c>
      <c r="C89" s="50" t="s">
        <v>514</v>
      </c>
      <c r="D89" s="15">
        <v>-1551.59</v>
      </c>
      <c r="E89" s="15"/>
      <c r="F89" s="5">
        <v>787.15</v>
      </c>
      <c r="G89" s="5">
        <v>-758.85</v>
      </c>
      <c r="H89" s="5">
        <v>759.15</v>
      </c>
      <c r="I89" s="5">
        <v>-1265.6099999999999</v>
      </c>
      <c r="J89" s="5">
        <v>1266.1500000000001</v>
      </c>
      <c r="K89" s="5">
        <v>-758.85</v>
      </c>
      <c r="L89" s="5"/>
      <c r="M89" s="5">
        <v>-2055.87</v>
      </c>
      <c r="N89" s="5">
        <v>2217.7199999999998</v>
      </c>
      <c r="O89" s="5">
        <v>574</v>
      </c>
      <c r="P89" s="5">
        <v>786.6</v>
      </c>
      <c r="Q89" s="5"/>
      <c r="R89" s="15">
        <f t="shared" si="27"/>
        <v>1551.5900000000001</v>
      </c>
      <c r="S89" s="43">
        <f t="shared" si="26"/>
        <v>0</v>
      </c>
      <c r="T89" s="43"/>
      <c r="U89" s="36"/>
      <c r="V89" s="36"/>
      <c r="W89" s="36"/>
      <c r="X89" s="36"/>
      <c r="Y89" s="36"/>
      <c r="Z89" s="36"/>
      <c r="AA89" s="36"/>
      <c r="AB89" s="36"/>
    </row>
    <row r="90" spans="2:28" s="165" customFormat="1" ht="18" hidden="1" outlineLevel="2">
      <c r="B90" s="53">
        <v>2780</v>
      </c>
      <c r="C90" s="50" t="s">
        <v>485</v>
      </c>
      <c r="D90" s="15">
        <v>0</v>
      </c>
      <c r="E90" s="1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15">
        <f t="shared" si="27"/>
        <v>0</v>
      </c>
      <c r="S90" s="43">
        <f t="shared" si="26"/>
        <v>0</v>
      </c>
      <c r="T90" s="43"/>
      <c r="U90" s="36"/>
      <c r="V90" s="36"/>
      <c r="W90" s="36"/>
      <c r="X90" s="36"/>
      <c r="Y90" s="36"/>
      <c r="Z90" s="36"/>
      <c r="AA90" s="36"/>
      <c r="AB90" s="36"/>
    </row>
    <row r="91" spans="2:28" s="165" customFormat="1" ht="18" hidden="1" outlineLevel="2">
      <c r="B91" s="53">
        <v>2785</v>
      </c>
      <c r="C91" s="50" t="s">
        <v>486</v>
      </c>
      <c r="D91" s="15">
        <v>-1264.69</v>
      </c>
      <c r="E91" s="15"/>
      <c r="F91" s="5">
        <v>-94.85</v>
      </c>
      <c r="G91" s="5">
        <v>-94.85</v>
      </c>
      <c r="H91" s="5">
        <v>-94.85</v>
      </c>
      <c r="I91" s="5">
        <v>1265.6099999999999</v>
      </c>
      <c r="J91" s="5">
        <v>-94.85</v>
      </c>
      <c r="K91" s="5">
        <v>-94.85</v>
      </c>
      <c r="L91" s="5"/>
      <c r="M91" s="5">
        <v>-256.99</v>
      </c>
      <c r="N91" s="5">
        <v>-97.78</v>
      </c>
      <c r="O91" s="5"/>
      <c r="P91" s="5"/>
      <c r="Q91" s="5"/>
      <c r="R91" s="15">
        <f t="shared" si="27"/>
        <v>436.58999999999992</v>
      </c>
      <c r="S91" s="43">
        <f t="shared" si="26"/>
        <v>-828.10000000000014</v>
      </c>
      <c r="T91" s="43"/>
      <c r="U91" s="36"/>
      <c r="V91" s="36"/>
      <c r="W91" s="36"/>
      <c r="X91" s="36"/>
      <c r="Y91" s="36"/>
      <c r="Z91" s="36"/>
      <c r="AA91" s="36"/>
      <c r="AB91" s="36"/>
    </row>
    <row r="92" spans="2:28" s="165" customFormat="1" ht="18" hidden="1" outlineLevel="2">
      <c r="B92" s="53">
        <v>2900</v>
      </c>
      <c r="C92" s="50" t="s">
        <v>211</v>
      </c>
      <c r="D92" s="15">
        <v>-11450</v>
      </c>
      <c r="E92" s="15"/>
      <c r="F92" s="5">
        <v>11450</v>
      </c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15">
        <f t="shared" si="27"/>
        <v>11450</v>
      </c>
      <c r="S92" s="43">
        <f t="shared" si="26"/>
        <v>0</v>
      </c>
      <c r="T92" s="43"/>
      <c r="U92" s="36"/>
      <c r="V92" s="36"/>
      <c r="W92" s="36"/>
      <c r="X92" s="36"/>
      <c r="Y92" s="36"/>
      <c r="Z92" s="36"/>
      <c r="AA92" s="36"/>
      <c r="AB92" s="36"/>
    </row>
    <row r="93" spans="2:28" s="165" customFormat="1" ht="18" hidden="1" outlineLevel="2">
      <c r="B93" s="53">
        <v>2940</v>
      </c>
      <c r="C93" s="50" t="s">
        <v>406</v>
      </c>
      <c r="D93" s="15">
        <v>-52827.92</v>
      </c>
      <c r="E93" s="15"/>
      <c r="F93" s="5">
        <v>-894.88</v>
      </c>
      <c r="G93" s="5">
        <v>-894.88</v>
      </c>
      <c r="H93" s="5">
        <v>-894.88</v>
      </c>
      <c r="I93" s="5">
        <v>11939.73</v>
      </c>
      <c r="J93" s="5">
        <v>-894.88</v>
      </c>
      <c r="K93" s="5">
        <v>-894.88</v>
      </c>
      <c r="L93" s="5"/>
      <c r="M93" s="5">
        <v>-2424.38</v>
      </c>
      <c r="N93" s="5">
        <v>-922.5</v>
      </c>
      <c r="O93" s="5"/>
      <c r="P93" s="5"/>
      <c r="Q93" s="5"/>
      <c r="R93" s="15">
        <f t="shared" si="27"/>
        <v>4118.4500000000007</v>
      </c>
      <c r="S93" s="43">
        <f t="shared" si="26"/>
        <v>-48709.47</v>
      </c>
      <c r="T93" s="43"/>
      <c r="U93" s="36"/>
      <c r="V93" s="36"/>
      <c r="W93" s="36"/>
      <c r="X93" s="36"/>
      <c r="Y93" s="36"/>
      <c r="Z93" s="36"/>
      <c r="AA93" s="36"/>
      <c r="AB93" s="36"/>
    </row>
    <row r="94" spans="2:28" s="165" customFormat="1" ht="18" hidden="1" outlineLevel="2">
      <c r="B94" s="53">
        <v>2945</v>
      </c>
      <c r="C94" s="50" t="s">
        <v>64</v>
      </c>
      <c r="D94" s="15">
        <v>40887.879999999997</v>
      </c>
      <c r="E94" s="1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15">
        <f t="shared" si="27"/>
        <v>0</v>
      </c>
      <c r="S94" s="43">
        <f t="shared" si="26"/>
        <v>40887.879999999997</v>
      </c>
      <c r="T94" s="43"/>
      <c r="U94" s="36"/>
      <c r="V94" s="36"/>
      <c r="W94" s="36"/>
      <c r="X94" s="36"/>
      <c r="Y94" s="36"/>
      <c r="Z94" s="36"/>
      <c r="AA94" s="36"/>
      <c r="AB94" s="36"/>
    </row>
    <row r="95" spans="2:28" s="165" customFormat="1" ht="18" hidden="1" outlineLevel="2">
      <c r="B95" s="53">
        <v>2960</v>
      </c>
      <c r="C95" s="50" t="s">
        <v>179</v>
      </c>
      <c r="D95" s="15">
        <v>0</v>
      </c>
      <c r="E95" s="1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15">
        <f t="shared" si="27"/>
        <v>0</v>
      </c>
      <c r="S95" s="43">
        <f t="shared" si="26"/>
        <v>0</v>
      </c>
      <c r="T95" s="43"/>
      <c r="U95" s="36"/>
      <c r="V95" s="36"/>
      <c r="W95" s="36"/>
      <c r="X95" s="36"/>
      <c r="Y95" s="36"/>
      <c r="Z95" s="36"/>
      <c r="AA95" s="36"/>
      <c r="AB95" s="36"/>
    </row>
    <row r="96" spans="2:28" s="165" customFormat="1" ht="18" hidden="1" outlineLevel="2">
      <c r="B96" s="53">
        <v>2970</v>
      </c>
      <c r="C96" s="50" t="s">
        <v>212</v>
      </c>
      <c r="D96" s="15">
        <v>0</v>
      </c>
      <c r="E96" s="1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15">
        <f t="shared" si="27"/>
        <v>0</v>
      </c>
      <c r="S96" s="43">
        <f t="shared" si="26"/>
        <v>0</v>
      </c>
      <c r="T96" s="43"/>
      <c r="U96" s="36"/>
      <c r="V96" s="36"/>
      <c r="W96" s="36"/>
      <c r="X96" s="36"/>
      <c r="Y96" s="36"/>
      <c r="Z96" s="36"/>
      <c r="AA96" s="36"/>
      <c r="AB96" s="36"/>
    </row>
    <row r="97" spans="2:29" s="165" customFormat="1" ht="18" hidden="1" outlineLevel="2">
      <c r="B97" s="53">
        <v>2990</v>
      </c>
      <c r="C97" s="50" t="s">
        <v>407</v>
      </c>
      <c r="D97" s="15">
        <v>-36000</v>
      </c>
      <c r="E97" s="15"/>
      <c r="F97" s="5">
        <v>36000</v>
      </c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15">
        <f t="shared" si="27"/>
        <v>36000</v>
      </c>
      <c r="S97" s="43">
        <f t="shared" si="26"/>
        <v>0</v>
      </c>
      <c r="T97" s="43"/>
      <c r="U97" s="36"/>
      <c r="V97" s="36"/>
      <c r="W97" s="36"/>
      <c r="X97" s="36"/>
      <c r="Y97" s="36"/>
      <c r="Z97" s="36"/>
      <c r="AA97" s="36"/>
      <c r="AB97" s="36"/>
    </row>
    <row r="98" spans="2:29" s="165" customFormat="1" ht="18" hidden="1" outlineLevel="1" collapsed="1">
      <c r="B98" s="22" t="s">
        <v>415</v>
      </c>
      <c r="C98" s="22"/>
      <c r="D98" s="4">
        <f>SUM(D79:D97)</f>
        <v>-65040.006399999991</v>
      </c>
      <c r="E98" s="4"/>
      <c r="F98" s="6">
        <f t="shared" ref="F98:R98" si="28">SUM(F79:F97)</f>
        <v>-7326.2799999999916</v>
      </c>
      <c r="G98" s="6">
        <f t="shared" si="28"/>
        <v>27643.49</v>
      </c>
      <c r="H98" s="6">
        <f t="shared" si="28"/>
        <v>786.44999999999993</v>
      </c>
      <c r="I98" s="6">
        <f t="shared" si="28"/>
        <v>5553.05</v>
      </c>
      <c r="J98" s="6">
        <f t="shared" si="28"/>
        <v>-35933.779999999992</v>
      </c>
      <c r="K98" s="6">
        <f t="shared" si="28"/>
        <v>-65331.99</v>
      </c>
      <c r="L98" s="6">
        <f t="shared" si="28"/>
        <v>-30510.82</v>
      </c>
      <c r="M98" s="6">
        <f t="shared" si="28"/>
        <v>95558.22</v>
      </c>
      <c r="N98" s="6">
        <f t="shared" si="28"/>
        <v>2.4199999999998454</v>
      </c>
      <c r="O98" s="6">
        <f t="shared" si="28"/>
        <v>2918.58</v>
      </c>
      <c r="P98" s="6">
        <f t="shared" si="28"/>
        <v>50198.15</v>
      </c>
      <c r="Q98" s="6">
        <f t="shared" si="28"/>
        <v>-1224.6399999999999</v>
      </c>
      <c r="R98" s="4">
        <f t="shared" si="28"/>
        <v>42332.85000000002</v>
      </c>
      <c r="S98" s="43">
        <f>D98+R98</f>
        <v>-22707.156399999971</v>
      </c>
      <c r="T98" s="43"/>
      <c r="U98" s="36"/>
      <c r="V98" s="36"/>
      <c r="W98" s="36"/>
      <c r="X98" s="36"/>
      <c r="Y98" s="36"/>
      <c r="Z98" s="36"/>
      <c r="AA98" s="36"/>
      <c r="AB98" s="36"/>
    </row>
    <row r="99" spans="2:29" s="165" customFormat="1" ht="6.6" hidden="1" customHeight="1" outlineLevel="1" thickBot="1">
      <c r="B99" s="102"/>
      <c r="C99" s="101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89"/>
      <c r="T99" s="96"/>
      <c r="U99" s="36"/>
      <c r="V99" s="36"/>
      <c r="W99" s="36"/>
      <c r="X99" s="36"/>
      <c r="Y99" s="36"/>
      <c r="Z99" s="36"/>
      <c r="AA99" s="36"/>
      <c r="AB99" s="36"/>
    </row>
    <row r="100" spans="2:29" s="165" customFormat="1" ht="18" collapsed="1">
      <c r="B100" s="90" t="s">
        <v>160</v>
      </c>
      <c r="C100" s="95"/>
      <c r="D100" s="4">
        <f>D77+D78+D98</f>
        <v>-65040.006399999991</v>
      </c>
      <c r="E100" s="4"/>
      <c r="F100" s="4">
        <f t="shared" ref="F100:R100" si="29">F77+F78+F98</f>
        <v>-7326.2799999999916</v>
      </c>
      <c r="G100" s="4">
        <f t="shared" si="29"/>
        <v>27643.49</v>
      </c>
      <c r="H100" s="4">
        <f t="shared" si="29"/>
        <v>786.44999999999993</v>
      </c>
      <c r="I100" s="4">
        <f t="shared" si="29"/>
        <v>5553.05</v>
      </c>
      <c r="J100" s="4">
        <f t="shared" si="29"/>
        <v>-35933.779999999992</v>
      </c>
      <c r="K100" s="4">
        <f t="shared" si="29"/>
        <v>-65331.99</v>
      </c>
      <c r="L100" s="4">
        <f t="shared" si="29"/>
        <v>-30510.82</v>
      </c>
      <c r="M100" s="4">
        <f t="shared" si="29"/>
        <v>95558.22</v>
      </c>
      <c r="N100" s="4">
        <f t="shared" si="29"/>
        <v>2.4199999999998454</v>
      </c>
      <c r="O100" s="4">
        <f t="shared" si="29"/>
        <v>2918.58</v>
      </c>
      <c r="P100" s="4">
        <f t="shared" si="29"/>
        <v>50198.15</v>
      </c>
      <c r="Q100" s="4">
        <f t="shared" si="29"/>
        <v>-1224.6399999999999</v>
      </c>
      <c r="R100" s="4">
        <f t="shared" si="29"/>
        <v>42332.85000000002</v>
      </c>
      <c r="S100" s="43">
        <f>D100+R100</f>
        <v>-22707.156399999971</v>
      </c>
      <c r="T100" s="43"/>
      <c r="U100" s="36"/>
      <c r="V100" s="36"/>
      <c r="W100" s="36"/>
      <c r="X100" s="36"/>
      <c r="Y100" s="36"/>
      <c r="Z100" s="36"/>
      <c r="AA100" s="36"/>
      <c r="AB100" s="36"/>
    </row>
    <row r="101" spans="2:29" s="165" customFormat="1" ht="6.6" customHeight="1" thickBot="1">
      <c r="B101" s="55"/>
      <c r="C101" s="55"/>
      <c r="D101" s="39"/>
      <c r="E101" s="39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39"/>
      <c r="S101" s="74"/>
      <c r="T101" s="43"/>
      <c r="U101" s="36"/>
      <c r="V101" s="36"/>
      <c r="W101" s="36"/>
      <c r="X101" s="36"/>
      <c r="Y101" s="36"/>
      <c r="Z101" s="36"/>
      <c r="AA101" s="36"/>
      <c r="AB101" s="36"/>
    </row>
    <row r="102" spans="2:29" s="165" customFormat="1" ht="21.6" customHeight="1" thickTop="1" thickBot="1">
      <c r="B102" s="137" t="s">
        <v>95</v>
      </c>
      <c r="C102" s="145"/>
      <c r="D102" s="32">
        <f>D74+D100</f>
        <v>-1289467.9357</v>
      </c>
      <c r="E102" s="32"/>
      <c r="F102" s="32">
        <f t="shared" ref="F102:R102" si="30">F74+F100</f>
        <v>-4311.049999999992</v>
      </c>
      <c r="G102" s="32">
        <f t="shared" si="30"/>
        <v>36327.69</v>
      </c>
      <c r="H102" s="32">
        <f t="shared" si="30"/>
        <v>33027.96</v>
      </c>
      <c r="I102" s="32">
        <f t="shared" si="30"/>
        <v>-18115.09</v>
      </c>
      <c r="J102" s="32">
        <f t="shared" si="30"/>
        <v>-163337.50999999998</v>
      </c>
      <c r="K102" s="32">
        <f t="shared" si="30"/>
        <v>-31542.184000000001</v>
      </c>
      <c r="L102" s="32">
        <f t="shared" si="30"/>
        <v>-13991.126</v>
      </c>
      <c r="M102" s="32">
        <f t="shared" si="30"/>
        <v>69208.987999999998</v>
      </c>
      <c r="N102" s="32">
        <f t="shared" si="30"/>
        <v>-18350.262000000002</v>
      </c>
      <c r="O102" s="32">
        <f t="shared" si="30"/>
        <v>116829.56200000001</v>
      </c>
      <c r="P102" s="32">
        <f t="shared" si="30"/>
        <v>64346.038</v>
      </c>
      <c r="Q102" s="32">
        <f t="shared" si="30"/>
        <v>-18499.73</v>
      </c>
      <c r="R102" s="32">
        <f t="shared" si="30"/>
        <v>51593.286000000022</v>
      </c>
      <c r="S102" s="86">
        <f>D102+R102</f>
        <v>-1237874.6497</v>
      </c>
      <c r="T102" s="86"/>
      <c r="U102" s="36"/>
      <c r="V102" s="36"/>
      <c r="W102" s="36"/>
      <c r="X102" s="36"/>
      <c r="Y102" s="36"/>
      <c r="Z102" s="36"/>
      <c r="AA102" s="36"/>
      <c r="AB102" s="36"/>
    </row>
    <row r="103" spans="2:29" s="135" customFormat="1" ht="11.45" customHeight="1" thickTop="1"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4"/>
    </row>
    <row r="104" spans="2:29" s="172" customFormat="1" ht="18.600000000000001" customHeight="1">
      <c r="B104" s="139" t="s">
        <v>476</v>
      </c>
      <c r="C104" s="139"/>
      <c r="D104" s="51">
        <f>D62+D102</f>
        <v>1.470000040717423E-2</v>
      </c>
      <c r="E104" s="51"/>
      <c r="F104" s="51">
        <f t="shared" ref="F104:S104" si="31">F62+F102</f>
        <v>7.2759576141834259E-12</v>
      </c>
      <c r="G104" s="51">
        <f t="shared" si="31"/>
        <v>0</v>
      </c>
      <c r="H104" s="51">
        <f t="shared" si="31"/>
        <v>0</v>
      </c>
      <c r="I104" s="51">
        <f t="shared" si="31"/>
        <v>0</v>
      </c>
      <c r="J104" s="51">
        <f t="shared" si="31"/>
        <v>0</v>
      </c>
      <c r="K104" s="51">
        <f t="shared" si="31"/>
        <v>-3.9999999935389496E-3</v>
      </c>
      <c r="L104" s="51">
        <f t="shared" si="31"/>
        <v>3.9999999971769284E-3</v>
      </c>
      <c r="M104" s="51">
        <f t="shared" si="31"/>
        <v>-1.999999993131496E-3</v>
      </c>
      <c r="N104" s="51">
        <f t="shared" si="31"/>
        <v>-2.0000000004074536E-3</v>
      </c>
      <c r="O104" s="51">
        <f t="shared" si="31"/>
        <v>2.0000000076834112E-3</v>
      </c>
      <c r="P104" s="51">
        <f t="shared" si="31"/>
        <v>8.0000000016298145E-3</v>
      </c>
      <c r="Q104" s="51">
        <f t="shared" si="31"/>
        <v>0</v>
      </c>
      <c r="R104" s="51">
        <f t="shared" si="31"/>
        <v>6.000000037602149E-3</v>
      </c>
      <c r="S104" s="51">
        <f t="shared" si="31"/>
        <v>2.0700000459328294E-2</v>
      </c>
      <c r="T104" s="51">
        <f>T62-T102</f>
        <v>0</v>
      </c>
      <c r="U104" s="64"/>
      <c r="V104" s="64"/>
      <c r="W104" s="64"/>
      <c r="X104" s="64"/>
      <c r="Y104" s="64"/>
      <c r="Z104" s="64"/>
      <c r="AA104" s="64"/>
      <c r="AB104" s="64"/>
    </row>
    <row r="105" spans="2:29" s="135" customFormat="1" ht="6.6" customHeight="1"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4"/>
    </row>
    <row r="106" spans="2:29" s="110" customFormat="1" ht="6.6" customHeight="1">
      <c r="B106" s="76"/>
      <c r="C106" s="76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U106" s="30"/>
      <c r="V106" s="30"/>
      <c r="W106" s="30"/>
      <c r="X106" s="30"/>
      <c r="Y106" s="30"/>
      <c r="Z106" s="30"/>
      <c r="AA106" s="30"/>
      <c r="AB106" s="30"/>
      <c r="AC106" s="30"/>
    </row>
    <row r="107" spans="2:29" s="40" customFormat="1" ht="15.6" customHeight="1">
      <c r="B107" s="161" t="s">
        <v>477</v>
      </c>
      <c r="C107" s="59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U107" s="10"/>
      <c r="V107" s="10"/>
      <c r="W107" s="10"/>
      <c r="X107" s="10"/>
      <c r="Y107" s="10"/>
      <c r="Z107" s="10"/>
      <c r="AA107" s="10"/>
      <c r="AB107" s="10"/>
      <c r="AC107" s="10"/>
    </row>
    <row r="108" spans="2:29" s="40" customFormat="1" ht="6.6" customHeight="1">
      <c r="B108" s="8"/>
      <c r="C108" s="8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92"/>
    </row>
    <row r="109" spans="2:29" s="59" customFormat="1" ht="21.6" customHeight="1">
      <c r="B109" s="114" t="s">
        <v>154</v>
      </c>
      <c r="C109" s="117"/>
      <c r="D109" s="14"/>
      <c r="E109" s="14"/>
      <c r="F109" s="28">
        <f t="shared" ref="F109:Q109" si="32">F74*-1</f>
        <v>-3015.23</v>
      </c>
      <c r="G109" s="28">
        <f t="shared" si="32"/>
        <v>-8684.2000000000007</v>
      </c>
      <c r="H109" s="28">
        <f t="shared" si="32"/>
        <v>-32241.51</v>
      </c>
      <c r="I109" s="28">
        <f t="shared" si="32"/>
        <v>23668.14</v>
      </c>
      <c r="J109" s="28">
        <f t="shared" si="32"/>
        <v>127403.73</v>
      </c>
      <c r="K109" s="28">
        <f t="shared" si="32"/>
        <v>-33789.805999999997</v>
      </c>
      <c r="L109" s="28">
        <f t="shared" si="32"/>
        <v>-16519.694</v>
      </c>
      <c r="M109" s="28">
        <f t="shared" si="32"/>
        <v>26349.232</v>
      </c>
      <c r="N109" s="28">
        <f t="shared" si="32"/>
        <v>18352.682000000001</v>
      </c>
      <c r="O109" s="28">
        <f t="shared" si="32"/>
        <v>-113910.982</v>
      </c>
      <c r="P109" s="28">
        <f t="shared" si="32"/>
        <v>-14147.888000000001</v>
      </c>
      <c r="Q109" s="28">
        <f t="shared" si="32"/>
        <v>17275.09</v>
      </c>
      <c r="R109" s="14"/>
      <c r="S109" s="14"/>
      <c r="T109" s="160"/>
      <c r="U109" s="13"/>
      <c r="V109" s="13"/>
      <c r="W109" s="13"/>
      <c r="X109" s="13"/>
      <c r="Y109" s="13"/>
      <c r="Z109" s="13"/>
      <c r="AA109" s="13"/>
      <c r="AB109" s="13"/>
      <c r="AC109" s="13"/>
    </row>
    <row r="110" spans="2:29" s="59" customFormat="1" ht="21.6" customHeight="1">
      <c r="B110" s="114" t="s">
        <v>56</v>
      </c>
      <c r="C110" s="117"/>
      <c r="D110" s="14"/>
      <c r="E110" s="14"/>
      <c r="F110" s="14">
        <f t="shared" ref="F110:Q110" si="33">IFERROR(F74/F102,0)</f>
        <v>-0.69941893506222508</v>
      </c>
      <c r="G110" s="14">
        <f t="shared" si="33"/>
        <v>0.23905180868918449</v>
      </c>
      <c r="H110" s="14">
        <f t="shared" si="33"/>
        <v>0.97618835677407867</v>
      </c>
      <c r="I110" s="14">
        <f t="shared" si="33"/>
        <v>1.3065427773199028</v>
      </c>
      <c r="J110" s="14">
        <f t="shared" si="33"/>
        <v>0.78000289094648256</v>
      </c>
      <c r="K110" s="14">
        <f t="shared" si="33"/>
        <v>-1.0712576529259989</v>
      </c>
      <c r="L110" s="14">
        <f t="shared" si="33"/>
        <v>-1.1807265548176751</v>
      </c>
      <c r="M110" s="14">
        <f t="shared" si="33"/>
        <v>-0.38071979899489355</v>
      </c>
      <c r="N110" s="14">
        <f t="shared" si="33"/>
        <v>1.0001318782260438</v>
      </c>
      <c r="O110" s="14">
        <f t="shared" si="33"/>
        <v>0.97501848033976191</v>
      </c>
      <c r="P110" s="14">
        <f t="shared" si="33"/>
        <v>0.21987193679275172</v>
      </c>
      <c r="Q110" s="14">
        <f t="shared" si="33"/>
        <v>0.93380227711431463</v>
      </c>
      <c r="R110" s="14"/>
      <c r="S110" s="14"/>
      <c r="T110" s="160"/>
      <c r="U110" s="13"/>
      <c r="V110" s="13"/>
      <c r="W110" s="13"/>
      <c r="X110" s="13"/>
      <c r="Y110" s="13"/>
      <c r="Z110" s="13"/>
      <c r="AA110" s="13"/>
      <c r="AB110" s="13"/>
      <c r="AC110" s="13"/>
    </row>
    <row r="111" spans="2:29" s="59" customFormat="1" ht="21.6" customHeight="1">
      <c r="B111" s="114" t="s">
        <v>397</v>
      </c>
      <c r="C111" s="117"/>
      <c r="D111" s="14"/>
      <c r="E111" s="14"/>
      <c r="F111" s="28">
        <f t="shared" ref="F111:Q111" si="34">F58</f>
        <v>15318.05</v>
      </c>
      <c r="G111" s="28">
        <f t="shared" si="34"/>
        <v>-36327.69</v>
      </c>
      <c r="H111" s="28">
        <f t="shared" si="34"/>
        <v>-20527.96</v>
      </c>
      <c r="I111" s="28">
        <f t="shared" si="34"/>
        <v>18115.09</v>
      </c>
      <c r="J111" s="28">
        <f t="shared" si="34"/>
        <v>116034.71</v>
      </c>
      <c r="K111" s="28">
        <f t="shared" si="34"/>
        <v>70061.240000000005</v>
      </c>
      <c r="L111" s="28">
        <f t="shared" si="34"/>
        <v>49572.78</v>
      </c>
      <c r="M111" s="28">
        <f t="shared" si="34"/>
        <v>-48063.46</v>
      </c>
      <c r="N111" s="28">
        <f t="shared" si="34"/>
        <v>33896.19</v>
      </c>
      <c r="O111" s="28">
        <f t="shared" si="34"/>
        <v>-91260.08</v>
      </c>
      <c r="P111" s="28">
        <f t="shared" si="34"/>
        <v>-61811.63</v>
      </c>
      <c r="Q111" s="28">
        <f t="shared" si="34"/>
        <v>12309.98</v>
      </c>
      <c r="R111" s="14"/>
      <c r="S111" s="14"/>
      <c r="T111" s="160"/>
      <c r="U111" s="13"/>
      <c r="V111" s="13"/>
      <c r="W111" s="13"/>
      <c r="X111" s="13"/>
      <c r="Y111" s="13"/>
      <c r="Z111" s="13"/>
      <c r="AA111" s="13"/>
      <c r="AB111" s="13"/>
      <c r="AC111" s="13"/>
    </row>
    <row r="112" spans="2:29" s="59" customFormat="1" ht="21.6" customHeight="1">
      <c r="B112" s="114" t="s">
        <v>228</v>
      </c>
      <c r="C112" s="117"/>
      <c r="D112" s="14"/>
      <c r="E112" s="14"/>
      <c r="F112" s="28">
        <f t="shared" ref="F112:Q112" si="35">F60-(F98*-1)</f>
        <v>-3015.2299999999923</v>
      </c>
      <c r="G112" s="28">
        <f t="shared" si="35"/>
        <v>-8684.2000000000007</v>
      </c>
      <c r="H112" s="28">
        <f t="shared" si="35"/>
        <v>-32241.51</v>
      </c>
      <c r="I112" s="28">
        <f t="shared" si="35"/>
        <v>23668.14</v>
      </c>
      <c r="J112" s="28">
        <f t="shared" si="35"/>
        <v>127403.73000000001</v>
      </c>
      <c r="K112" s="28">
        <f t="shared" si="35"/>
        <v>-33789.80999999999</v>
      </c>
      <c r="L112" s="28">
        <f t="shared" si="35"/>
        <v>-16519.690000000002</v>
      </c>
      <c r="M112" s="28">
        <f t="shared" si="35"/>
        <v>26349.23000000001</v>
      </c>
      <c r="N112" s="28">
        <f t="shared" si="35"/>
        <v>18352.68</v>
      </c>
      <c r="O112" s="28">
        <f t="shared" si="35"/>
        <v>-50163.98</v>
      </c>
      <c r="P112" s="28">
        <f t="shared" si="35"/>
        <v>-14147.879999999997</v>
      </c>
      <c r="Q112" s="28">
        <f t="shared" si="35"/>
        <v>25923.09</v>
      </c>
      <c r="R112" s="14"/>
      <c r="S112" s="14"/>
      <c r="T112" s="160"/>
      <c r="U112" s="13"/>
      <c r="V112" s="13"/>
      <c r="W112" s="13"/>
      <c r="X112" s="13"/>
      <c r="Y112" s="13"/>
      <c r="Z112" s="13"/>
      <c r="AA112" s="13"/>
      <c r="AB112" s="13"/>
      <c r="AC112" s="13"/>
    </row>
    <row r="113" spans="2:29" s="59" customFormat="1" ht="21.6" customHeight="1">
      <c r="B113" s="114" t="s">
        <v>155</v>
      </c>
      <c r="C113" s="117"/>
      <c r="D113" s="28">
        <f>IFERROR(D74,0)</f>
        <v>-1224427.9293</v>
      </c>
      <c r="E113" s="175">
        <f t="shared" ref="E113:E116" si="36">D113</f>
        <v>-1224427.9293</v>
      </c>
      <c r="F113" s="28">
        <f t="shared" ref="F113:Q113" si="37">F74+INDEX(1:311,ROW(),COLUMN()-1)</f>
        <v>-1221412.6993</v>
      </c>
      <c r="G113" s="28">
        <f t="shared" si="37"/>
        <v>-1212728.4993</v>
      </c>
      <c r="H113" s="28">
        <f t="shared" si="37"/>
        <v>-1180486.9893</v>
      </c>
      <c r="I113" s="28">
        <f t="shared" si="37"/>
        <v>-1204155.1292999999</v>
      </c>
      <c r="J113" s="28">
        <f t="shared" si="37"/>
        <v>-1331558.8592999999</v>
      </c>
      <c r="K113" s="28">
        <f t="shared" si="37"/>
        <v>-1297769.0532999998</v>
      </c>
      <c r="L113" s="28">
        <f t="shared" si="37"/>
        <v>-1281249.3592999999</v>
      </c>
      <c r="M113" s="28">
        <f t="shared" si="37"/>
        <v>-1307598.5913</v>
      </c>
      <c r="N113" s="28">
        <f t="shared" si="37"/>
        <v>-1325951.2733</v>
      </c>
      <c r="O113" s="28">
        <f t="shared" si="37"/>
        <v>-1212040.2912999999</v>
      </c>
      <c r="P113" s="28">
        <f t="shared" si="37"/>
        <v>-1197892.4032999999</v>
      </c>
      <c r="Q113" s="28">
        <f t="shared" si="37"/>
        <v>-1215167.4933</v>
      </c>
      <c r="R113" s="14"/>
      <c r="S113" s="14"/>
      <c r="T113" s="160"/>
      <c r="U113" s="13"/>
      <c r="V113" s="13"/>
      <c r="W113" s="13"/>
      <c r="X113" s="13"/>
      <c r="Y113" s="13"/>
      <c r="Z113" s="13"/>
      <c r="AA113" s="13"/>
      <c r="AB113" s="13"/>
      <c r="AC113" s="13"/>
    </row>
    <row r="114" spans="2:29" s="59" customFormat="1" ht="21.6" customHeight="1">
      <c r="B114" s="114" t="s">
        <v>400</v>
      </c>
      <c r="C114" s="117"/>
      <c r="D114" s="28">
        <f>IFERROR(D58,0)</f>
        <v>495894.05</v>
      </c>
      <c r="E114" s="175">
        <f t="shared" si="36"/>
        <v>495894.05</v>
      </c>
      <c r="F114" s="28">
        <f t="shared" ref="F114:Q114" si="38">F58+INDEX(1:311,ROW(),COLUMN()-1)</f>
        <v>511212.1</v>
      </c>
      <c r="G114" s="28">
        <f t="shared" si="38"/>
        <v>474884.41</v>
      </c>
      <c r="H114" s="28">
        <f t="shared" si="38"/>
        <v>454356.44999999995</v>
      </c>
      <c r="I114" s="28">
        <f t="shared" si="38"/>
        <v>472471.54</v>
      </c>
      <c r="J114" s="28">
        <f t="shared" si="38"/>
        <v>588506.25</v>
      </c>
      <c r="K114" s="28">
        <f t="shared" si="38"/>
        <v>658567.49</v>
      </c>
      <c r="L114" s="28">
        <f t="shared" si="38"/>
        <v>708140.27</v>
      </c>
      <c r="M114" s="28">
        <f t="shared" si="38"/>
        <v>660076.81000000006</v>
      </c>
      <c r="N114" s="28">
        <f t="shared" si="38"/>
        <v>693973</v>
      </c>
      <c r="O114" s="28">
        <f t="shared" si="38"/>
        <v>602712.92000000004</v>
      </c>
      <c r="P114" s="28">
        <f t="shared" si="38"/>
        <v>540901.29</v>
      </c>
      <c r="Q114" s="28">
        <f t="shared" si="38"/>
        <v>553211.27</v>
      </c>
      <c r="R114" s="14"/>
      <c r="S114" s="14"/>
      <c r="T114" s="160"/>
      <c r="U114" s="13"/>
      <c r="V114" s="13"/>
      <c r="W114" s="13"/>
      <c r="X114" s="13"/>
      <c r="Y114" s="13"/>
      <c r="Z114" s="13"/>
      <c r="AA114" s="13"/>
      <c r="AB114" s="13"/>
      <c r="AC114" s="13"/>
    </row>
    <row r="115" spans="2:29" s="59" customFormat="1" ht="21.6" customHeight="1">
      <c r="B115" s="114" t="s">
        <v>156</v>
      </c>
      <c r="C115" s="117"/>
      <c r="D115" s="28">
        <f>D60-(D98*-1)</f>
        <v>526056.04399999999</v>
      </c>
      <c r="E115" s="175">
        <f t="shared" si="36"/>
        <v>526056.04399999999</v>
      </c>
      <c r="F115" s="28">
        <f t="shared" ref="F115:Q115" si="39">F98+INDEX(1:311,ROW(),COLUMN()-1)</f>
        <v>518729.76400000002</v>
      </c>
      <c r="G115" s="28">
        <f t="shared" si="39"/>
        <v>546373.25400000007</v>
      </c>
      <c r="H115" s="28">
        <f t="shared" si="39"/>
        <v>547159.70400000003</v>
      </c>
      <c r="I115" s="28">
        <f t="shared" si="39"/>
        <v>552712.75400000007</v>
      </c>
      <c r="J115" s="28">
        <f t="shared" si="39"/>
        <v>516778.9740000001</v>
      </c>
      <c r="K115" s="28">
        <f t="shared" si="39"/>
        <v>451446.98400000011</v>
      </c>
      <c r="L115" s="28">
        <f t="shared" si="39"/>
        <v>420936.16400000011</v>
      </c>
      <c r="M115" s="28">
        <f t="shared" si="39"/>
        <v>516494.38400000008</v>
      </c>
      <c r="N115" s="28">
        <f t="shared" si="39"/>
        <v>516496.80400000006</v>
      </c>
      <c r="O115" s="28">
        <f t="shared" si="39"/>
        <v>519415.38400000008</v>
      </c>
      <c r="P115" s="28">
        <f t="shared" si="39"/>
        <v>569613.5340000001</v>
      </c>
      <c r="Q115" s="28">
        <f t="shared" si="39"/>
        <v>568388.89400000009</v>
      </c>
      <c r="R115" s="14"/>
      <c r="S115" s="14"/>
      <c r="T115" s="160"/>
      <c r="U115" s="13"/>
      <c r="V115" s="13"/>
      <c r="W115" s="13"/>
      <c r="X115" s="13"/>
      <c r="Y115" s="13"/>
      <c r="Z115" s="13"/>
      <c r="AA115" s="13"/>
      <c r="AB115" s="13"/>
      <c r="AC115" s="13"/>
    </row>
    <row r="116" spans="2:29" s="59" customFormat="1" ht="21.6" customHeight="1">
      <c r="B116" s="114" t="s">
        <v>200</v>
      </c>
      <c r="C116" s="117"/>
      <c r="D116" s="28">
        <f>IFERROR(D102,0)</f>
        <v>-1289467.9357</v>
      </c>
      <c r="E116" s="175">
        <f t="shared" si="36"/>
        <v>-1289467.9357</v>
      </c>
      <c r="F116" s="28">
        <f t="shared" ref="F116:Q116" si="40">F102+INDEX(1:311,ROW(),COLUMN()-1)</f>
        <v>-1293778.9857000001</v>
      </c>
      <c r="G116" s="28">
        <f t="shared" si="40"/>
        <v>-1257451.2957000001</v>
      </c>
      <c r="H116" s="28">
        <f t="shared" si="40"/>
        <v>-1224423.3357000002</v>
      </c>
      <c r="I116" s="28">
        <f t="shared" si="40"/>
        <v>-1242538.4257000003</v>
      </c>
      <c r="J116" s="28">
        <f t="shared" si="40"/>
        <v>-1405875.9357000003</v>
      </c>
      <c r="K116" s="28">
        <f t="shared" si="40"/>
        <v>-1437418.1197000002</v>
      </c>
      <c r="L116" s="28">
        <f t="shared" si="40"/>
        <v>-1451409.2457000001</v>
      </c>
      <c r="M116" s="28">
        <f t="shared" si="40"/>
        <v>-1382200.2577000002</v>
      </c>
      <c r="N116" s="28">
        <f t="shared" si="40"/>
        <v>-1400550.5197000003</v>
      </c>
      <c r="O116" s="28">
        <f t="shared" si="40"/>
        <v>-1283720.9577000004</v>
      </c>
      <c r="P116" s="28">
        <f t="shared" si="40"/>
        <v>-1219374.9197000004</v>
      </c>
      <c r="Q116" s="28">
        <f t="shared" si="40"/>
        <v>-1237874.6497000004</v>
      </c>
      <c r="R116" s="14"/>
      <c r="S116" s="14"/>
      <c r="T116" s="160"/>
      <c r="U116" s="13"/>
      <c r="V116" s="13"/>
      <c r="W116" s="13"/>
      <c r="X116" s="13"/>
      <c r="Y116" s="13"/>
      <c r="Z116" s="13"/>
      <c r="AA116" s="13"/>
      <c r="AB116" s="13"/>
      <c r="AC116" s="13"/>
    </row>
    <row r="117" spans="2:29" s="59" customFormat="1" ht="21.6" customHeight="1">
      <c r="B117" s="114" t="s">
        <v>370</v>
      </c>
      <c r="C117" s="117"/>
      <c r="D117" s="14"/>
      <c r="E117" s="14"/>
      <c r="F117" s="14">
        <f t="shared" ref="F117:Q117" si="41">IFERROR(F113/F116,0)</f>
        <v>0.94406595933319615</v>
      </c>
      <c r="G117" s="14">
        <f t="shared" si="41"/>
        <v>0.96443377445079992</v>
      </c>
      <c r="H117" s="14">
        <f t="shared" si="41"/>
        <v>0.9641167028437253</v>
      </c>
      <c r="I117" s="14">
        <f t="shared" si="41"/>
        <v>0.96910896628538745</v>
      </c>
      <c r="J117" s="14">
        <f t="shared" si="41"/>
        <v>0.94713823993082491</v>
      </c>
      <c r="K117" s="14">
        <f t="shared" si="41"/>
        <v>0.9028472895352494</v>
      </c>
      <c r="L117" s="14">
        <f t="shared" si="41"/>
        <v>0.88276229677871887</v>
      </c>
      <c r="M117" s="14">
        <f t="shared" si="41"/>
        <v>0.94602687563946897</v>
      </c>
      <c r="N117" s="14">
        <f t="shared" si="41"/>
        <v>0.94673576900604806</v>
      </c>
      <c r="O117" s="14">
        <f t="shared" si="41"/>
        <v>0.94416180091939272</v>
      </c>
      <c r="P117" s="14">
        <f t="shared" si="41"/>
        <v>0.98238235340670621</v>
      </c>
      <c r="Q117" s="14">
        <f t="shared" si="41"/>
        <v>0.98165633620051629</v>
      </c>
      <c r="R117" s="14"/>
      <c r="S117" s="14"/>
      <c r="T117" s="160"/>
      <c r="U117" s="13"/>
      <c r="V117" s="13"/>
      <c r="W117" s="13"/>
      <c r="X117" s="13"/>
      <c r="Y117" s="13"/>
      <c r="Z117" s="13"/>
      <c r="AA117" s="13"/>
      <c r="AB117" s="13"/>
      <c r="AC117" s="13"/>
    </row>
    <row r="118" spans="2:29" s="40" customFormat="1" ht="6.6" customHeight="1">
      <c r="B118" s="114"/>
      <c r="C118" s="117"/>
      <c r="D118" s="14"/>
      <c r="E118" s="14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14"/>
      <c r="S118" s="14"/>
      <c r="T118" s="182"/>
      <c r="U118" s="10"/>
      <c r="V118" s="10"/>
      <c r="W118" s="10"/>
      <c r="X118" s="10"/>
      <c r="Y118" s="10"/>
      <c r="Z118" s="10"/>
      <c r="AA118" s="10"/>
      <c r="AB118" s="10"/>
      <c r="AC118" s="10"/>
    </row>
  </sheetData>
  <mergeCells count="4">
    <mergeCell ref="D5:S5"/>
    <mergeCell ref="B6:C6"/>
    <mergeCell ref="D6:S6"/>
    <mergeCell ref="F10:R10"/>
  </mergeCells>
  <hyperlinks>
    <hyperlink ref="B1" location="Forside!A1" display="Forside"/>
  </hyperlinks>
  <pageMargins left="0.7" right="0.7" top="0.75" bottom="0.75" header="0.3" footer="0.3"/>
  <pageSetup paperSize="9" scale="72" fitToHeight="0" orientation="portrait" verticalDpi="597"/>
  <headerFooter>
    <oddFooter>&amp;CSide &amp;P av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79"/>
  <sheetViews>
    <sheetView showGridLines="0" zoomScale="70" workbookViewId="0">
      <pane ySplit="14" topLeftCell="A15" activePane="bottomLeft" state="frozen"/>
      <selection activeCell="C29" sqref="C29"/>
      <selection pane="bottomLeft"/>
    </sheetView>
  </sheetViews>
  <sheetFormatPr baseColWidth="10" defaultColWidth="9.140625" defaultRowHeight="14.25" outlineLevelRow="2" outlineLevelCol="1"/>
  <cols>
    <col min="1" max="1" width="3.140625" style="45" customWidth="1"/>
    <col min="2" max="2" width="9.85546875" style="45" customWidth="1"/>
    <col min="3" max="3" width="37.28515625" style="45" customWidth="1"/>
    <col min="4" max="4" width="19.42578125" style="45" customWidth="1"/>
    <col min="5" max="5" width="3.85546875" style="45" customWidth="1"/>
    <col min="6" max="6" width="18.140625" style="45" hidden="1" customWidth="1" outlineLevel="1"/>
    <col min="7" max="7" width="18.140625" style="45" customWidth="1" collapsed="1"/>
    <col min="8" max="8" width="19.140625" style="45" bestFit="1" customWidth="1"/>
    <col min="9" max="9" width="0.7109375" style="45" customWidth="1"/>
    <col min="10" max="16384" width="9.140625" style="45"/>
  </cols>
  <sheetData>
    <row r="1" spans="2:17" s="40" customFormat="1" ht="15.6" customHeight="1">
      <c r="B1" s="59" t="s">
        <v>513</v>
      </c>
    </row>
    <row r="2" spans="2:17" s="40" customFormat="1" ht="21" customHeight="1">
      <c r="B2" s="82" t="e">
        <f ca="1">_xll.OneStop.ReportPlayer.OSRFunctions.OSRGet("ThisCompany","CompanyName")</f>
        <v>#NAME?</v>
      </c>
      <c r="D2" s="8"/>
      <c r="F2" s="8"/>
      <c r="G2" s="8"/>
    </row>
    <row r="3" spans="2:17" s="40" customFormat="1" ht="30.6" customHeight="1">
      <c r="B3" s="85" t="s">
        <v>284</v>
      </c>
      <c r="D3" s="8"/>
      <c r="E3" s="8"/>
      <c r="F3" s="8"/>
      <c r="G3" s="8"/>
    </row>
    <row r="4" spans="2:17" s="40" customFormat="1" ht="15" customHeight="1"/>
    <row r="5" spans="2:17" s="40" customFormat="1" ht="15">
      <c r="B5" s="75" t="s">
        <v>371</v>
      </c>
      <c r="C5" s="109"/>
      <c r="D5" s="189" t="s">
        <v>475</v>
      </c>
      <c r="E5" s="195"/>
      <c r="F5" s="195"/>
      <c r="G5" s="195"/>
      <c r="H5" s="195"/>
    </row>
    <row r="6" spans="2:17" s="40" customFormat="1" ht="30" customHeight="1">
      <c r="B6" s="191" t="e">
        <f ca="1">D39</f>
        <v>#NAME?</v>
      </c>
      <c r="C6" s="192"/>
      <c r="D6" s="193" t="e">
        <f ca="1">H39</f>
        <v>#NAME?</v>
      </c>
      <c r="E6" s="193"/>
      <c r="F6" s="193"/>
      <c r="G6" s="193"/>
      <c r="H6" s="193"/>
      <c r="I6" s="77"/>
    </row>
    <row r="7" spans="2:17" s="40" customFormat="1" ht="10.9" customHeight="1">
      <c r="I7" s="77"/>
    </row>
    <row r="8" spans="2:17" s="40" customFormat="1" ht="15.6" customHeight="1">
      <c r="B8" s="83" t="s">
        <v>504</v>
      </c>
      <c r="C8" s="116" t="e">
        <f ca="1">_xll.OneStop.ReportPlayer.OSRFunctions.OSRGet("Period","PeriodId")</f>
        <v>#NAME?</v>
      </c>
      <c r="H8" s="33">
        <f ca="1">TODAY()</f>
        <v>44261</v>
      </c>
      <c r="I8" s="77"/>
    </row>
    <row r="9" spans="2:17" ht="6.6" customHeight="1">
      <c r="B9" s="81"/>
      <c r="C9" s="37"/>
      <c r="D9" s="37"/>
      <c r="E9" s="34"/>
      <c r="F9" s="34"/>
      <c r="G9" s="34"/>
      <c r="H9" s="67"/>
      <c r="I9" s="67"/>
    </row>
    <row r="10" spans="2:17" ht="18">
      <c r="B10" s="72"/>
      <c r="C10" s="72"/>
      <c r="D10" s="25" t="s">
        <v>348</v>
      </c>
      <c r="E10" s="47"/>
      <c r="F10" s="194" t="s">
        <v>93</v>
      </c>
      <c r="G10" s="194"/>
      <c r="H10" s="25" t="s">
        <v>414</v>
      </c>
      <c r="I10" s="183"/>
    </row>
    <row r="11" spans="2:17" ht="18">
      <c r="B11" s="178"/>
      <c r="C11" s="72"/>
      <c r="D11" s="60" t="s">
        <v>129</v>
      </c>
      <c r="E11" s="25"/>
      <c r="F11" s="25" t="e">
        <f ca="1">_xll.OneStop.ReportPlayer.OSRFunctions.OSRGet("Period","PeriodId")</f>
        <v>#NAME?</v>
      </c>
      <c r="G11" s="25" t="s">
        <v>519</v>
      </c>
      <c r="H11" s="25" t="e">
        <f ca="1">_xll.OneStop.ReportPlayer.OSRFunctions.OSRPar("Periode")</f>
        <v>#NAME?</v>
      </c>
      <c r="I11" s="183"/>
    </row>
    <row r="12" spans="2:17" ht="6.6" customHeight="1">
      <c r="B12" s="11"/>
      <c r="C12" s="11"/>
      <c r="D12" s="11"/>
      <c r="E12" s="11"/>
      <c r="F12" s="11"/>
      <c r="G12" s="11"/>
      <c r="H12" s="11"/>
      <c r="I12" s="11"/>
    </row>
    <row r="13" spans="2:17" ht="2.4500000000000002" customHeight="1">
      <c r="B13" s="54"/>
      <c r="C13" s="54"/>
      <c r="D13" s="21"/>
      <c r="E13" s="21"/>
      <c r="F13" s="21"/>
      <c r="G13" s="21"/>
      <c r="H13" s="21"/>
      <c r="I13" s="21"/>
    </row>
    <row r="14" spans="2:17" ht="6.6" customHeight="1">
      <c r="B14" s="56"/>
      <c r="C14" s="56"/>
      <c r="D14" s="17"/>
      <c r="E14" s="17"/>
      <c r="F14" s="17"/>
      <c r="G14" s="17"/>
      <c r="H14" s="17"/>
      <c r="I14" s="17"/>
    </row>
    <row r="15" spans="2:17" s="165" customFormat="1" ht="18">
      <c r="B15" s="22" t="s">
        <v>38</v>
      </c>
      <c r="C15" s="22"/>
      <c r="D15" s="48"/>
      <c r="E15" s="48"/>
      <c r="F15" s="24"/>
      <c r="G15" s="48"/>
      <c r="H15" s="74"/>
      <c r="I15" s="43"/>
      <c r="J15" s="36"/>
      <c r="K15" s="36"/>
      <c r="L15" s="36"/>
      <c r="M15" s="36"/>
      <c r="N15" s="36"/>
      <c r="O15" s="36"/>
      <c r="P15" s="36"/>
      <c r="Q15" s="36"/>
    </row>
    <row r="16" spans="2:17" s="165" customFormat="1" ht="6.6" customHeight="1">
      <c r="B16" s="22"/>
      <c r="C16" s="22"/>
      <c r="D16" s="48"/>
      <c r="E16" s="48"/>
      <c r="F16" s="24"/>
      <c r="G16" s="48"/>
      <c r="H16" s="74"/>
      <c r="I16" s="43"/>
      <c r="J16" s="36"/>
      <c r="K16" s="36"/>
      <c r="L16" s="36"/>
      <c r="M16" s="36"/>
      <c r="N16" s="36"/>
      <c r="O16" s="36"/>
      <c r="P16" s="36"/>
      <c r="Q16" s="36"/>
    </row>
    <row r="17" spans="2:17" s="165" customFormat="1" ht="18" hidden="1" outlineLevel="1">
      <c r="B17" s="22" t="s">
        <v>455</v>
      </c>
      <c r="C17" s="22"/>
      <c r="D17" s="48"/>
      <c r="E17" s="48"/>
      <c r="F17" s="24"/>
      <c r="G17" s="48"/>
      <c r="H17" s="74"/>
      <c r="I17" s="43"/>
      <c r="J17" s="36"/>
      <c r="K17" s="36"/>
      <c r="L17" s="36"/>
      <c r="M17" s="36"/>
      <c r="N17" s="36"/>
      <c r="O17" s="36"/>
      <c r="P17" s="36"/>
      <c r="Q17" s="36"/>
    </row>
    <row r="18" spans="2:17" s="165" customFormat="1" ht="18" hidden="1" outlineLevel="2">
      <c r="B18" s="53" t="e">
        <f ca="1">_xll.OneStop.ReportPlayer.OSRFunctions.OSRGet("Journal_Account","AccountNo")</f>
        <v>#NAME?</v>
      </c>
      <c r="C18" s="50" t="e">
        <f ca="1">_xll.OneStop.ReportPlayer.OSRFunctions.OSRGet("Journal_Account","AccountName")</f>
        <v>#NAME?</v>
      </c>
      <c r="D18" s="15" t="e">
        <f ca="1">_xll.OneStop.ReportPlayer.OSRFunctions.OSRGet("Journal_SubEntry","AmtCur")</f>
        <v>#NAME?</v>
      </c>
      <c r="E18" s="15"/>
      <c r="F18" s="5" t="e">
        <f ca="1">_xll.OneStop.ReportPlayer.OSRFunctions.OSRGet("Journal_SubEntry","AmtCur")</f>
        <v>#NAME?</v>
      </c>
      <c r="G18" s="15" t="e">
        <f ca="1">SUM(_xll.OneStop.ReportPlayer.OSRFunctions.OSRRef(F18))</f>
        <v>#NAME?</v>
      </c>
      <c r="H18" s="43" t="e">
        <f t="shared" ref="H18:H23" ca="1" si="0">D18+G18</f>
        <v>#NAME?</v>
      </c>
      <c r="I18" s="43"/>
      <c r="J18" s="36"/>
      <c r="K18" s="36"/>
      <c r="L18" s="36"/>
      <c r="M18" s="36"/>
      <c r="N18" s="36"/>
      <c r="O18" s="36"/>
      <c r="P18" s="36"/>
      <c r="Q18" s="36"/>
    </row>
    <row r="19" spans="2:17" s="165" customFormat="1" ht="18" hidden="1" outlineLevel="1" collapsed="1">
      <c r="B19" s="22" t="s">
        <v>0</v>
      </c>
      <c r="C19" s="22"/>
      <c r="D19" s="4" t="e">
        <f ca="1">SUM(_xll.OneStop.ReportPlayer.OSRFunctions.OSRRef(D18))</f>
        <v>#NAME?</v>
      </c>
      <c r="E19" s="4"/>
      <c r="F19" s="6" t="e">
        <f ca="1">SUM(_xll.OneStop.ReportPlayer.OSRFunctions.OSRRef(F18))</f>
        <v>#NAME?</v>
      </c>
      <c r="G19" s="4" t="e">
        <f ca="1">SUM(_xll.OneStop.ReportPlayer.OSRFunctions.OSRRef(G18))</f>
        <v>#NAME?</v>
      </c>
      <c r="H19" s="43" t="e">
        <f t="shared" ca="1" si="0"/>
        <v>#NAME?</v>
      </c>
      <c r="I19" s="43"/>
      <c r="J19" s="36"/>
      <c r="K19" s="36"/>
      <c r="L19" s="36"/>
      <c r="M19" s="36"/>
      <c r="N19" s="36"/>
      <c r="O19" s="36"/>
      <c r="P19" s="36"/>
      <c r="Q19" s="36"/>
    </row>
    <row r="20" spans="2:17" s="165" customFormat="1" ht="18" hidden="1" outlineLevel="2">
      <c r="B20" s="53" t="e">
        <f ca="1">_xll.OneStop.ReportPlayer.OSRFunctions.OSRGet("Journal_Account","AccountNo")</f>
        <v>#NAME?</v>
      </c>
      <c r="C20" s="50" t="e">
        <f ca="1">_xll.OneStop.ReportPlayer.OSRFunctions.OSRGet("Journal_Account","AccountName")</f>
        <v>#NAME?</v>
      </c>
      <c r="D20" s="15" t="e">
        <f ca="1">_xll.OneStop.ReportPlayer.OSRFunctions.OSRGet("Journal_SubEntry","AmtCur")</f>
        <v>#NAME?</v>
      </c>
      <c r="E20" s="15"/>
      <c r="F20" s="5" t="e">
        <f ca="1">_xll.OneStop.ReportPlayer.OSRFunctions.OSRGet("Journal_SubEntry","AmtCur")</f>
        <v>#NAME?</v>
      </c>
      <c r="G20" s="15" t="e">
        <f ca="1">SUM(_xll.OneStop.ReportPlayer.OSRFunctions.OSRRef(F20))</f>
        <v>#NAME?</v>
      </c>
      <c r="H20" s="43" t="e">
        <f t="shared" ca="1" si="0"/>
        <v>#NAME?</v>
      </c>
      <c r="I20" s="43"/>
      <c r="J20" s="36"/>
      <c r="K20" s="36"/>
      <c r="L20" s="36"/>
      <c r="M20" s="36"/>
      <c r="N20" s="36"/>
      <c r="O20" s="36"/>
      <c r="P20" s="36"/>
      <c r="Q20" s="36"/>
    </row>
    <row r="21" spans="2:17" s="165" customFormat="1" ht="18" hidden="1" outlineLevel="1" collapsed="1">
      <c r="B21" s="22" t="s">
        <v>285</v>
      </c>
      <c r="C21" s="22"/>
      <c r="D21" s="4" t="e">
        <f ca="1">SUM(_xll.OneStop.ReportPlayer.OSRFunctions.OSRRef(D20))</f>
        <v>#NAME?</v>
      </c>
      <c r="E21" s="4"/>
      <c r="F21" s="6" t="e">
        <f ca="1">SUM(_xll.OneStop.ReportPlayer.OSRFunctions.OSRRef(F20))</f>
        <v>#NAME?</v>
      </c>
      <c r="G21" s="4" t="e">
        <f ca="1">SUM(_xll.OneStop.ReportPlayer.OSRFunctions.OSRRef(G20))</f>
        <v>#NAME?</v>
      </c>
      <c r="H21" s="43" t="e">
        <f t="shared" ca="1" si="0"/>
        <v>#NAME?</v>
      </c>
      <c r="I21" s="43"/>
      <c r="J21" s="36"/>
      <c r="K21" s="36"/>
      <c r="L21" s="36"/>
      <c r="M21" s="36"/>
      <c r="N21" s="36"/>
      <c r="O21" s="36"/>
      <c r="P21" s="36"/>
      <c r="Q21" s="36"/>
    </row>
    <row r="22" spans="2:17" s="165" customFormat="1" ht="18" hidden="1" outlineLevel="2">
      <c r="B22" s="53" t="e">
        <f ca="1">_xll.OneStop.ReportPlayer.OSRFunctions.OSRGet("Journal_Account","AccountNo")</f>
        <v>#NAME?</v>
      </c>
      <c r="C22" s="50" t="e">
        <f ca="1">_xll.OneStop.ReportPlayer.OSRFunctions.OSRGet("Journal_Account","AccountName")</f>
        <v>#NAME?</v>
      </c>
      <c r="D22" s="15" t="e">
        <f ca="1">_xll.OneStop.ReportPlayer.OSRFunctions.OSRGet("Journal_SubEntry","AmtCur")</f>
        <v>#NAME?</v>
      </c>
      <c r="E22" s="15"/>
      <c r="F22" s="5" t="e">
        <f ca="1">_xll.OneStop.ReportPlayer.OSRFunctions.OSRGet("Journal_SubEntry","AmtCur")</f>
        <v>#NAME?</v>
      </c>
      <c r="G22" s="15" t="e">
        <f ca="1">SUM(_xll.OneStop.ReportPlayer.OSRFunctions.OSRRef(F22))</f>
        <v>#NAME?</v>
      </c>
      <c r="H22" s="43" t="e">
        <f t="shared" ca="1" si="0"/>
        <v>#NAME?</v>
      </c>
      <c r="I22" s="43"/>
      <c r="J22" s="36"/>
      <c r="K22" s="36"/>
      <c r="L22" s="36"/>
      <c r="M22" s="36"/>
      <c r="N22" s="36"/>
      <c r="O22" s="36"/>
      <c r="P22" s="36"/>
      <c r="Q22" s="36"/>
    </row>
    <row r="23" spans="2:17" s="165" customFormat="1" ht="18" hidden="1" outlineLevel="1" collapsed="1">
      <c r="B23" s="22" t="s">
        <v>286</v>
      </c>
      <c r="C23" s="22"/>
      <c r="D23" s="4" t="e">
        <f ca="1">SUM(_xll.OneStop.ReportPlayer.OSRFunctions.OSRRef(D22))</f>
        <v>#NAME?</v>
      </c>
      <c r="E23" s="4"/>
      <c r="F23" s="6" t="e">
        <f ca="1">SUM(_xll.OneStop.ReportPlayer.OSRFunctions.OSRRef(F22))</f>
        <v>#NAME?</v>
      </c>
      <c r="G23" s="4" t="e">
        <f ca="1">SUM(_xll.OneStop.ReportPlayer.OSRFunctions.OSRRef(G22))</f>
        <v>#NAME?</v>
      </c>
      <c r="H23" s="43" t="e">
        <f t="shared" ca="1" si="0"/>
        <v>#NAME?</v>
      </c>
      <c r="I23" s="43"/>
      <c r="J23" s="36"/>
      <c r="K23" s="36"/>
      <c r="L23" s="36"/>
      <c r="M23" s="36"/>
      <c r="N23" s="36"/>
      <c r="O23" s="36"/>
      <c r="P23" s="36"/>
      <c r="Q23" s="36"/>
    </row>
    <row r="24" spans="2:17" s="165" customFormat="1" ht="6.6" hidden="1" customHeight="1" outlineLevel="1" thickBot="1">
      <c r="B24" s="102"/>
      <c r="C24" s="101"/>
      <c r="D24" s="12"/>
      <c r="E24" s="12"/>
      <c r="F24" s="12"/>
      <c r="G24" s="12"/>
      <c r="H24" s="89"/>
      <c r="I24" s="96"/>
      <c r="J24" s="36"/>
      <c r="K24" s="36"/>
      <c r="L24" s="36"/>
      <c r="M24" s="36"/>
      <c r="N24" s="36"/>
      <c r="O24" s="36"/>
      <c r="P24" s="36"/>
      <c r="Q24" s="36"/>
    </row>
    <row r="25" spans="2:17" s="165" customFormat="1" ht="18" collapsed="1">
      <c r="B25" s="90" t="s">
        <v>120</v>
      </c>
      <c r="C25" s="95"/>
      <c r="D25" s="4" t="e">
        <f ca="1">D19+D21+D23</f>
        <v>#NAME?</v>
      </c>
      <c r="E25" s="4"/>
      <c r="F25" s="4" t="e">
        <f t="shared" ref="F25:G25" ca="1" si="1">F19+F21+F23</f>
        <v>#NAME?</v>
      </c>
      <c r="G25" s="4" t="e">
        <f t="shared" ca="1" si="1"/>
        <v>#NAME?</v>
      </c>
      <c r="H25" s="43" t="e">
        <f ca="1">D25+G25</f>
        <v>#NAME?</v>
      </c>
      <c r="I25" s="43"/>
      <c r="J25" s="36"/>
      <c r="K25" s="36"/>
      <c r="L25" s="36"/>
      <c r="M25" s="36"/>
      <c r="N25" s="36"/>
      <c r="O25" s="36"/>
      <c r="P25" s="36"/>
      <c r="Q25" s="36"/>
    </row>
    <row r="26" spans="2:17" s="165" customFormat="1" ht="6.6" customHeight="1">
      <c r="B26" s="55"/>
      <c r="C26" s="55"/>
      <c r="D26" s="39"/>
      <c r="E26" s="39"/>
      <c r="F26" s="16"/>
      <c r="G26" s="39"/>
      <c r="H26" s="74"/>
      <c r="I26" s="43"/>
      <c r="J26" s="36"/>
      <c r="K26" s="36"/>
      <c r="L26" s="36"/>
      <c r="M26" s="36"/>
      <c r="N26" s="36"/>
      <c r="O26" s="36"/>
      <c r="P26" s="36"/>
      <c r="Q26" s="36"/>
    </row>
    <row r="27" spans="2:17" s="165" customFormat="1" ht="18" hidden="1" outlineLevel="1">
      <c r="B27" s="22" t="s">
        <v>349</v>
      </c>
      <c r="C27" s="22"/>
      <c r="D27" s="48"/>
      <c r="E27" s="48"/>
      <c r="F27" s="24"/>
      <c r="G27" s="48"/>
      <c r="H27" s="74"/>
      <c r="I27" s="43"/>
      <c r="J27" s="36"/>
      <c r="K27" s="36"/>
      <c r="L27" s="36"/>
      <c r="M27" s="36"/>
      <c r="N27" s="36"/>
      <c r="O27" s="36"/>
      <c r="P27" s="36"/>
      <c r="Q27" s="36"/>
    </row>
    <row r="28" spans="2:17" s="165" customFormat="1" ht="18" hidden="1" outlineLevel="2">
      <c r="B28" s="53" t="e">
        <f ca="1">_xll.OneStop.ReportPlayer.OSRFunctions.OSRGet("Journal_Account","AccountNo")</f>
        <v>#NAME?</v>
      </c>
      <c r="C28" s="50" t="e">
        <f ca="1">_xll.OneStop.ReportPlayer.OSRFunctions.OSRGet("Journal_Account","AccountName")</f>
        <v>#NAME?</v>
      </c>
      <c r="D28" s="15" t="e">
        <f ca="1">_xll.OneStop.ReportPlayer.OSRFunctions.OSRGet("Journal_SubEntry","AmtCur")</f>
        <v>#NAME?</v>
      </c>
      <c r="E28" s="15"/>
      <c r="F28" s="5" t="e">
        <f ca="1">_xll.OneStop.ReportPlayer.OSRFunctions.OSRGet("Journal_SubEntry","AmtCur")</f>
        <v>#NAME?</v>
      </c>
      <c r="G28" s="15" t="e">
        <f ca="1">SUM(_xll.OneStop.ReportPlayer.OSRFunctions.OSRRef(F28))</f>
        <v>#NAME?</v>
      </c>
      <c r="H28" s="43" t="e">
        <f t="shared" ref="H28:H35" ca="1" si="2">D28+G28</f>
        <v>#NAME?</v>
      </c>
      <c r="I28" s="43"/>
      <c r="J28" s="36"/>
      <c r="K28" s="36"/>
      <c r="L28" s="36"/>
      <c r="M28" s="36"/>
      <c r="N28" s="36"/>
      <c r="O28" s="36"/>
      <c r="P28" s="36"/>
      <c r="Q28" s="36"/>
    </row>
    <row r="29" spans="2:17" s="165" customFormat="1" ht="18" hidden="1" outlineLevel="1" collapsed="1">
      <c r="B29" s="22" t="s">
        <v>1</v>
      </c>
      <c r="C29" s="22"/>
      <c r="D29" s="4" t="e">
        <f ca="1">SUM(_xll.OneStop.ReportPlayer.OSRFunctions.OSRRef(D28))</f>
        <v>#NAME?</v>
      </c>
      <c r="E29" s="4"/>
      <c r="F29" s="6" t="e">
        <f ca="1">SUM(_xll.OneStop.ReportPlayer.OSRFunctions.OSRRef(F28))</f>
        <v>#NAME?</v>
      </c>
      <c r="G29" s="4" t="e">
        <f ca="1">SUM(_xll.OneStop.ReportPlayer.OSRFunctions.OSRRef(G28))</f>
        <v>#NAME?</v>
      </c>
      <c r="H29" s="43" t="e">
        <f t="shared" ca="1" si="2"/>
        <v>#NAME?</v>
      </c>
      <c r="I29" s="43"/>
      <c r="J29" s="36"/>
      <c r="K29" s="36"/>
      <c r="L29" s="36"/>
      <c r="M29" s="36"/>
      <c r="N29" s="36"/>
      <c r="O29" s="36"/>
      <c r="P29" s="36"/>
      <c r="Q29" s="36"/>
    </row>
    <row r="30" spans="2:17" s="165" customFormat="1" ht="18" hidden="1" outlineLevel="2">
      <c r="B30" s="53" t="e">
        <f ca="1">_xll.OneStop.ReportPlayer.OSRFunctions.OSRGet("Journal_Account","AccountNo")</f>
        <v>#NAME?</v>
      </c>
      <c r="C30" s="50" t="e">
        <f ca="1">_xll.OneStop.ReportPlayer.OSRFunctions.OSRGet("Journal_Account","AccountName")</f>
        <v>#NAME?</v>
      </c>
      <c r="D30" s="15" t="e">
        <f ca="1">_xll.OneStop.ReportPlayer.OSRFunctions.OSRGet("Journal_SubEntry","AmtCur")</f>
        <v>#NAME?</v>
      </c>
      <c r="E30" s="15"/>
      <c r="F30" s="5" t="e">
        <f ca="1">_xll.OneStop.ReportPlayer.OSRFunctions.OSRGet("Journal_SubEntry","AmtCur")</f>
        <v>#NAME?</v>
      </c>
      <c r="G30" s="15" t="e">
        <f ca="1">SUM(_xll.OneStop.ReportPlayer.OSRFunctions.OSRRef(F30))</f>
        <v>#NAME?</v>
      </c>
      <c r="H30" s="43" t="e">
        <f t="shared" ca="1" si="2"/>
        <v>#NAME?</v>
      </c>
      <c r="I30" s="43"/>
      <c r="J30" s="36"/>
      <c r="K30" s="36"/>
      <c r="L30" s="36"/>
      <c r="M30" s="36"/>
      <c r="N30" s="36"/>
      <c r="O30" s="36"/>
      <c r="P30" s="36"/>
      <c r="Q30" s="36"/>
    </row>
    <row r="31" spans="2:17" s="165" customFormat="1" ht="18" hidden="1" outlineLevel="1" collapsed="1">
      <c r="B31" s="22" t="s">
        <v>324</v>
      </c>
      <c r="C31" s="22"/>
      <c r="D31" s="4" t="e">
        <f ca="1">SUM(_xll.OneStop.ReportPlayer.OSRFunctions.OSRRef(D30))</f>
        <v>#NAME?</v>
      </c>
      <c r="E31" s="4"/>
      <c r="F31" s="6" t="e">
        <f ca="1">SUM(_xll.OneStop.ReportPlayer.OSRFunctions.OSRRef(F30))</f>
        <v>#NAME?</v>
      </c>
      <c r="G31" s="4" t="e">
        <f ca="1">SUM(_xll.OneStop.ReportPlayer.OSRFunctions.OSRRef(G30))</f>
        <v>#NAME?</v>
      </c>
      <c r="H31" s="43" t="e">
        <f t="shared" ca="1" si="2"/>
        <v>#NAME?</v>
      </c>
      <c r="I31" s="43"/>
      <c r="J31" s="36"/>
      <c r="K31" s="36"/>
      <c r="L31" s="36"/>
      <c r="M31" s="36"/>
      <c r="N31" s="36"/>
      <c r="O31" s="36"/>
      <c r="P31" s="36"/>
      <c r="Q31" s="36"/>
    </row>
    <row r="32" spans="2:17" s="165" customFormat="1" ht="18" hidden="1" outlineLevel="2">
      <c r="B32" s="53" t="e">
        <f ca="1">_xll.OneStop.ReportPlayer.OSRFunctions.OSRGet("Journal_Account","AccountNo")</f>
        <v>#NAME?</v>
      </c>
      <c r="C32" s="50" t="e">
        <f ca="1">_xll.OneStop.ReportPlayer.OSRFunctions.OSRGet("Journal_Account","AccountName")</f>
        <v>#NAME?</v>
      </c>
      <c r="D32" s="15" t="e">
        <f ca="1">_xll.OneStop.ReportPlayer.OSRFunctions.OSRGet("Journal_SubEntry","AmtCur")</f>
        <v>#NAME?</v>
      </c>
      <c r="E32" s="15"/>
      <c r="F32" s="5" t="e">
        <f ca="1">_xll.OneStop.ReportPlayer.OSRFunctions.OSRGet("Journal_SubEntry","AmtCur")</f>
        <v>#NAME?</v>
      </c>
      <c r="G32" s="15" t="e">
        <f ca="1">SUM(_xll.OneStop.ReportPlayer.OSRFunctions.OSRRef(F32))</f>
        <v>#NAME?</v>
      </c>
      <c r="H32" s="43" t="e">
        <f t="shared" ca="1" si="2"/>
        <v>#NAME?</v>
      </c>
      <c r="I32" s="43"/>
      <c r="J32" s="36"/>
      <c r="K32" s="36"/>
      <c r="L32" s="36"/>
      <c r="M32" s="36"/>
      <c r="N32" s="36"/>
      <c r="O32" s="36"/>
      <c r="P32" s="36"/>
      <c r="Q32" s="36"/>
    </row>
    <row r="33" spans="2:17" s="165" customFormat="1" ht="18" hidden="1" outlineLevel="1" collapsed="1">
      <c r="B33" s="22" t="s">
        <v>287</v>
      </c>
      <c r="C33" s="22"/>
      <c r="D33" s="4" t="e">
        <f ca="1">SUM(_xll.OneStop.ReportPlayer.OSRFunctions.OSRRef(D32))</f>
        <v>#NAME?</v>
      </c>
      <c r="E33" s="4"/>
      <c r="F33" s="6" t="e">
        <f ca="1">SUM(_xll.OneStop.ReportPlayer.OSRFunctions.OSRRef(F32))</f>
        <v>#NAME?</v>
      </c>
      <c r="G33" s="4" t="e">
        <f ca="1">SUM(_xll.OneStop.ReportPlayer.OSRFunctions.OSRRef(G32))</f>
        <v>#NAME?</v>
      </c>
      <c r="H33" s="43" t="e">
        <f t="shared" ca="1" si="2"/>
        <v>#NAME?</v>
      </c>
      <c r="I33" s="43"/>
      <c r="J33" s="36"/>
      <c r="K33" s="36"/>
      <c r="L33" s="36"/>
      <c r="M33" s="36"/>
      <c r="N33" s="36"/>
      <c r="O33" s="36"/>
      <c r="P33" s="36"/>
      <c r="Q33" s="36"/>
    </row>
    <row r="34" spans="2:17" s="165" customFormat="1" ht="18" hidden="1" outlineLevel="2">
      <c r="B34" s="53" t="e">
        <f ca="1">_xll.OneStop.ReportPlayer.OSRFunctions.OSRGet("Journal_Account","AccountNo")</f>
        <v>#NAME?</v>
      </c>
      <c r="C34" s="50" t="e">
        <f ca="1">_xll.OneStop.ReportPlayer.OSRFunctions.OSRGet("Journal_Account","AccountName")</f>
        <v>#NAME?</v>
      </c>
      <c r="D34" s="15" t="e">
        <f ca="1">_xll.OneStop.ReportPlayer.OSRFunctions.OSRGet("Journal_SubEntry","AmtCur")</f>
        <v>#NAME?</v>
      </c>
      <c r="E34" s="15"/>
      <c r="F34" s="5" t="e">
        <f ca="1">_xll.OneStop.ReportPlayer.OSRFunctions.OSRGet("Journal_SubEntry","AmtCur")</f>
        <v>#NAME?</v>
      </c>
      <c r="G34" s="15" t="e">
        <f ca="1">SUM(_xll.OneStop.ReportPlayer.OSRFunctions.OSRRef(F34))</f>
        <v>#NAME?</v>
      </c>
      <c r="H34" s="43" t="e">
        <f t="shared" ca="1" si="2"/>
        <v>#NAME?</v>
      </c>
      <c r="I34" s="43"/>
      <c r="J34" s="36"/>
      <c r="K34" s="36"/>
      <c r="L34" s="36"/>
      <c r="M34" s="36"/>
      <c r="N34" s="36"/>
      <c r="O34" s="36"/>
      <c r="P34" s="36"/>
      <c r="Q34" s="36"/>
    </row>
    <row r="35" spans="2:17" s="165" customFormat="1" ht="18" hidden="1" outlineLevel="1" collapsed="1">
      <c r="B35" s="22" t="s">
        <v>490</v>
      </c>
      <c r="C35" s="22"/>
      <c r="D35" s="4" t="e">
        <f ca="1">SUM(_xll.OneStop.ReportPlayer.OSRFunctions.OSRRef(D34))</f>
        <v>#NAME?</v>
      </c>
      <c r="E35" s="4"/>
      <c r="F35" s="6" t="e">
        <f ca="1">SUM(_xll.OneStop.ReportPlayer.OSRFunctions.OSRRef(F34))</f>
        <v>#NAME?</v>
      </c>
      <c r="G35" s="4" t="e">
        <f ca="1">SUM(_xll.OneStop.ReportPlayer.OSRFunctions.OSRRef(G34))</f>
        <v>#NAME?</v>
      </c>
      <c r="H35" s="43" t="e">
        <f t="shared" ca="1" si="2"/>
        <v>#NAME?</v>
      </c>
      <c r="I35" s="43"/>
      <c r="J35" s="36"/>
      <c r="K35" s="36"/>
      <c r="L35" s="36"/>
      <c r="M35" s="36"/>
      <c r="N35" s="36"/>
      <c r="O35" s="36"/>
      <c r="P35" s="36"/>
      <c r="Q35" s="36"/>
    </row>
    <row r="36" spans="2:17" s="165" customFormat="1" ht="6.6" hidden="1" customHeight="1" outlineLevel="1" thickBot="1">
      <c r="B36" s="102"/>
      <c r="C36" s="101"/>
      <c r="D36" s="12"/>
      <c r="E36" s="12"/>
      <c r="F36" s="12"/>
      <c r="G36" s="12"/>
      <c r="H36" s="89"/>
      <c r="I36" s="96"/>
      <c r="J36" s="36"/>
      <c r="K36" s="36"/>
      <c r="L36" s="36"/>
      <c r="M36" s="36"/>
      <c r="N36" s="36"/>
      <c r="O36" s="36"/>
      <c r="P36" s="36"/>
      <c r="Q36" s="36"/>
    </row>
    <row r="37" spans="2:17" s="165" customFormat="1" ht="18" collapsed="1">
      <c r="B37" s="90" t="s">
        <v>509</v>
      </c>
      <c r="C37" s="95"/>
      <c r="D37" s="4" t="e">
        <f ca="1">D29+D31+D33+D35</f>
        <v>#NAME?</v>
      </c>
      <c r="E37" s="4"/>
      <c r="F37" s="4" t="e">
        <f t="shared" ref="F37:G37" ca="1" si="3">F29+F31+F33+F35</f>
        <v>#NAME?</v>
      </c>
      <c r="G37" s="4" t="e">
        <f t="shared" ca="1" si="3"/>
        <v>#NAME?</v>
      </c>
      <c r="H37" s="43" t="e">
        <f ca="1">D37+G37</f>
        <v>#NAME?</v>
      </c>
      <c r="I37" s="43"/>
      <c r="J37" s="36"/>
      <c r="K37" s="36"/>
      <c r="L37" s="36"/>
      <c r="M37" s="36"/>
      <c r="N37" s="36"/>
      <c r="O37" s="36"/>
      <c r="P37" s="36"/>
      <c r="Q37" s="36"/>
    </row>
    <row r="38" spans="2:17" s="165" customFormat="1" ht="6.6" customHeight="1" thickBot="1">
      <c r="B38" s="55"/>
      <c r="C38" s="55"/>
      <c r="D38" s="39"/>
      <c r="E38" s="39"/>
      <c r="F38" s="16"/>
      <c r="G38" s="39"/>
      <c r="H38" s="74"/>
      <c r="I38" s="43"/>
      <c r="J38" s="36"/>
      <c r="K38" s="36"/>
      <c r="L38" s="36"/>
      <c r="M38" s="36"/>
      <c r="N38" s="36"/>
      <c r="O38" s="36"/>
      <c r="P38" s="36"/>
      <c r="Q38" s="36"/>
    </row>
    <row r="39" spans="2:17" s="165" customFormat="1" ht="21.6" customHeight="1" thickTop="1" thickBot="1">
      <c r="B39" s="137" t="s">
        <v>94</v>
      </c>
      <c r="C39" s="145"/>
      <c r="D39" s="32" t="e">
        <f ca="1">D25+D37</f>
        <v>#NAME?</v>
      </c>
      <c r="E39" s="32"/>
      <c r="F39" s="32" t="e">
        <f t="shared" ref="F39:G39" ca="1" si="4">F25+F37</f>
        <v>#NAME?</v>
      </c>
      <c r="G39" s="32" t="e">
        <f t="shared" ca="1" si="4"/>
        <v>#NAME?</v>
      </c>
      <c r="H39" s="86" t="e">
        <f ca="1">D39+G39</f>
        <v>#NAME?</v>
      </c>
      <c r="I39" s="86"/>
      <c r="J39" s="36"/>
      <c r="K39" s="36"/>
      <c r="L39" s="36"/>
      <c r="M39" s="36"/>
      <c r="N39" s="36"/>
      <c r="O39" s="36"/>
      <c r="P39" s="36"/>
      <c r="Q39" s="36"/>
    </row>
    <row r="40" spans="2:17" s="165" customFormat="1" ht="18.75" thickTop="1">
      <c r="D40" s="57"/>
      <c r="E40" s="57"/>
      <c r="F40" s="57"/>
      <c r="G40" s="57"/>
      <c r="H40" s="162"/>
      <c r="I40" s="43"/>
    </row>
    <row r="41" spans="2:17" s="165" customFormat="1" ht="6.6" customHeight="1">
      <c r="B41" s="55"/>
      <c r="C41" s="55"/>
      <c r="D41" s="39"/>
      <c r="E41" s="39"/>
      <c r="F41" s="16"/>
      <c r="G41" s="39"/>
      <c r="H41" s="74"/>
      <c r="I41" s="43"/>
      <c r="J41" s="36"/>
      <c r="K41" s="36"/>
      <c r="L41" s="36"/>
      <c r="M41" s="36"/>
      <c r="N41" s="36"/>
      <c r="O41" s="36"/>
      <c r="P41" s="36"/>
      <c r="Q41" s="36"/>
    </row>
    <row r="42" spans="2:17" s="165" customFormat="1" ht="18">
      <c r="B42" s="22" t="s">
        <v>232</v>
      </c>
      <c r="C42" s="22"/>
      <c r="D42" s="48"/>
      <c r="E42" s="48"/>
      <c r="F42" s="24"/>
      <c r="G42" s="48"/>
      <c r="H42" s="74"/>
      <c r="I42" s="43"/>
      <c r="J42" s="36"/>
      <c r="K42" s="36"/>
      <c r="L42" s="36"/>
      <c r="M42" s="36"/>
      <c r="N42" s="36"/>
      <c r="O42" s="36"/>
      <c r="P42" s="36"/>
      <c r="Q42" s="36"/>
    </row>
    <row r="43" spans="2:17" s="165" customFormat="1" ht="6.6" customHeight="1">
      <c r="B43" s="22"/>
      <c r="C43" s="22"/>
      <c r="D43" s="48"/>
      <c r="E43" s="48"/>
      <c r="F43" s="24"/>
      <c r="G43" s="48"/>
      <c r="H43" s="74"/>
      <c r="I43" s="43"/>
      <c r="J43" s="36"/>
      <c r="K43" s="36"/>
      <c r="L43" s="36"/>
      <c r="M43" s="36"/>
      <c r="N43" s="36"/>
      <c r="O43" s="36"/>
      <c r="P43" s="36"/>
      <c r="Q43" s="36"/>
    </row>
    <row r="44" spans="2:17" s="165" customFormat="1" ht="18" hidden="1" outlineLevel="1">
      <c r="B44" s="22" t="s">
        <v>350</v>
      </c>
      <c r="C44" s="22"/>
      <c r="D44" s="48"/>
      <c r="E44" s="48"/>
      <c r="F44" s="24"/>
      <c r="G44" s="48"/>
      <c r="H44" s="74"/>
      <c r="I44" s="43"/>
      <c r="J44" s="36"/>
      <c r="K44" s="36"/>
      <c r="L44" s="36"/>
      <c r="M44" s="36"/>
      <c r="N44" s="36"/>
      <c r="O44" s="36"/>
      <c r="P44" s="36"/>
      <c r="Q44" s="36"/>
    </row>
    <row r="45" spans="2:17" s="165" customFormat="1" ht="18" hidden="1" outlineLevel="2">
      <c r="B45" s="53" t="e">
        <f ca="1">_xll.OneStop.ReportPlayer.OSRFunctions.OSRGet("Journal_Account","AccountNo")</f>
        <v>#NAME?</v>
      </c>
      <c r="C45" s="50" t="e">
        <f ca="1">_xll.OneStop.ReportPlayer.OSRFunctions.OSRGet("Journal_Account","AccountName")</f>
        <v>#NAME?</v>
      </c>
      <c r="D45" s="15" t="e">
        <f ca="1">_xll.OneStop.ReportPlayer.OSRFunctions.OSRGet("Journal_SubEntry","AmtCur")</f>
        <v>#NAME?</v>
      </c>
      <c r="E45" s="15"/>
      <c r="F45" s="5" t="e">
        <f ca="1">_xll.OneStop.ReportPlayer.OSRFunctions.OSRGet("Journal_SubEntry","AmtCur")</f>
        <v>#NAME?</v>
      </c>
      <c r="G45" s="15" t="e">
        <f ca="1">SUM(_xll.OneStop.ReportPlayer.OSRFunctions.OSRRef(F45))</f>
        <v>#NAME?</v>
      </c>
      <c r="H45" s="43" t="e">
        <f t="shared" ref="H45:H49" ca="1" si="5">D45+G45</f>
        <v>#NAME?</v>
      </c>
      <c r="I45" s="43"/>
      <c r="J45" s="36"/>
      <c r="K45" s="36"/>
      <c r="L45" s="36"/>
      <c r="M45" s="36"/>
      <c r="N45" s="36"/>
      <c r="O45" s="36"/>
      <c r="P45" s="36"/>
      <c r="Q45" s="36"/>
    </row>
    <row r="46" spans="2:17" s="165" customFormat="1" ht="18" hidden="1" outlineLevel="1" collapsed="1">
      <c r="B46" s="22" t="s">
        <v>351</v>
      </c>
      <c r="C46" s="22"/>
      <c r="D46" s="4" t="e">
        <f ca="1">SUM(_xll.OneStop.ReportPlayer.OSRFunctions.OSRRef(D45))</f>
        <v>#NAME?</v>
      </c>
      <c r="E46" s="4"/>
      <c r="F46" s="6" t="e">
        <f ca="1">SUM(_xll.OneStop.ReportPlayer.OSRFunctions.OSRRef(F45))</f>
        <v>#NAME?</v>
      </c>
      <c r="G46" s="4" t="e">
        <f ca="1">SUM(_xll.OneStop.ReportPlayer.OSRFunctions.OSRRef(G45))</f>
        <v>#NAME?</v>
      </c>
      <c r="H46" s="43" t="e">
        <f t="shared" ca="1" si="5"/>
        <v>#NAME?</v>
      </c>
      <c r="I46" s="43"/>
      <c r="J46" s="36"/>
      <c r="K46" s="36"/>
      <c r="L46" s="36"/>
      <c r="M46" s="36"/>
      <c r="N46" s="36"/>
      <c r="O46" s="36"/>
      <c r="P46" s="36"/>
      <c r="Q46" s="36"/>
    </row>
    <row r="47" spans="2:17" s="165" customFormat="1" ht="18" hidden="1" outlineLevel="2">
      <c r="B47" s="53" t="e">
        <f ca="1">_xll.OneStop.ReportPlayer.OSRFunctions.OSRGet("Journal_Account","AccountNo")</f>
        <v>#NAME?</v>
      </c>
      <c r="C47" s="50" t="e">
        <f ca="1">_xll.OneStop.ReportPlayer.OSRFunctions.OSRGet("Journal_Account","AccountName")</f>
        <v>#NAME?</v>
      </c>
      <c r="D47" s="15" t="e">
        <f ca="1">_xll.OneStop.ReportPlayer.OSRFunctions.OSRGet("Journal_SubEntry","AmtCur")</f>
        <v>#NAME?</v>
      </c>
      <c r="E47" s="15"/>
      <c r="F47" s="5" t="e">
        <f ca="1">_xll.OneStop.ReportPlayer.OSRFunctions.OSRGet("Journal_SubEntry","AmtCur")</f>
        <v>#NAME?</v>
      </c>
      <c r="G47" s="15" t="e">
        <f ca="1">SUM(_xll.OneStop.ReportPlayer.OSRFunctions.OSRRef(F47))</f>
        <v>#NAME?</v>
      </c>
      <c r="H47" s="43" t="e">
        <f t="shared" ca="1" si="5"/>
        <v>#NAME?</v>
      </c>
      <c r="I47" s="43"/>
      <c r="J47" s="36"/>
      <c r="K47" s="36"/>
      <c r="L47" s="36"/>
      <c r="M47" s="36"/>
      <c r="N47" s="36"/>
      <c r="O47" s="36"/>
      <c r="P47" s="36"/>
      <c r="Q47" s="36"/>
    </row>
    <row r="48" spans="2:17" s="165" customFormat="1" ht="18" hidden="1" outlineLevel="1" collapsed="1">
      <c r="B48" s="22" t="s">
        <v>325</v>
      </c>
      <c r="C48" s="22"/>
      <c r="D48" s="4" t="e">
        <f ca="1">SUM(_xll.OneStop.ReportPlayer.OSRFunctions.OSRRef(D47))</f>
        <v>#NAME?</v>
      </c>
      <c r="E48" s="4"/>
      <c r="F48" s="6" t="e">
        <f ca="1">SUM(_xll.OneStop.ReportPlayer.OSRFunctions.OSRRef(F47))</f>
        <v>#NAME?</v>
      </c>
      <c r="G48" s="4" t="e">
        <f ca="1">SUM(_xll.OneStop.ReportPlayer.OSRFunctions.OSRRef(G47))</f>
        <v>#NAME?</v>
      </c>
      <c r="H48" s="43" t="e">
        <f t="shared" ca="1" si="5"/>
        <v>#NAME?</v>
      </c>
      <c r="I48" s="43"/>
      <c r="J48" s="36"/>
      <c r="K48" s="36"/>
      <c r="L48" s="36"/>
      <c r="M48" s="36"/>
      <c r="N48" s="36"/>
      <c r="O48" s="36"/>
      <c r="P48" s="36"/>
      <c r="Q48" s="36"/>
    </row>
    <row r="49" spans="2:17" s="165" customFormat="1" ht="18" hidden="1" outlineLevel="1">
      <c r="B49" s="50" t="s">
        <v>130</v>
      </c>
      <c r="C49" s="50"/>
      <c r="D49" s="15" t="e">
        <f ca="1">_xll.OneStop.ReportPlayer.OSRFunctions.OSRGet("Journal_SubEntry","AmtCur")</f>
        <v>#NAME?</v>
      </c>
      <c r="E49" s="15"/>
      <c r="F49" s="5" t="e">
        <f ca="1">_xll.OneStop.ReportPlayer.OSRFunctions.OSRGet("Journal_SubEntry","AmtCur")</f>
        <v>#NAME?</v>
      </c>
      <c r="G49" s="15" t="e">
        <f ca="1">SUM(_xll.OneStop.ReportPlayer.OSRFunctions.OSRRef(F49))</f>
        <v>#NAME?</v>
      </c>
      <c r="H49" s="43" t="e">
        <f t="shared" ca="1" si="5"/>
        <v>#NAME?</v>
      </c>
      <c r="I49" s="43"/>
      <c r="J49" s="36"/>
      <c r="K49" s="36"/>
      <c r="L49" s="36"/>
      <c r="M49" s="36"/>
      <c r="N49" s="36"/>
      <c r="O49" s="36"/>
      <c r="P49" s="36"/>
      <c r="Q49" s="36"/>
    </row>
    <row r="50" spans="2:17" s="165" customFormat="1" ht="6.6" hidden="1" customHeight="1" outlineLevel="1" thickBot="1">
      <c r="B50" s="102"/>
      <c r="C50" s="101"/>
      <c r="D50" s="12"/>
      <c r="E50" s="12"/>
      <c r="F50" s="12"/>
      <c r="G50" s="12"/>
      <c r="H50" s="89"/>
      <c r="I50" s="96"/>
      <c r="J50" s="36"/>
      <c r="K50" s="36"/>
      <c r="L50" s="36"/>
      <c r="M50" s="36"/>
      <c r="N50" s="36"/>
      <c r="O50" s="36"/>
      <c r="P50" s="36"/>
      <c r="Q50" s="36"/>
    </row>
    <row r="51" spans="2:17" s="165" customFormat="1" ht="18" collapsed="1">
      <c r="B51" s="90" t="s">
        <v>83</v>
      </c>
      <c r="C51" s="95"/>
      <c r="D51" s="4" t="e">
        <f ca="1">D46+D48+D49</f>
        <v>#NAME?</v>
      </c>
      <c r="E51" s="4"/>
      <c r="F51" s="4" t="e">
        <f t="shared" ref="F51:G51" ca="1" si="6">F46+F48+F49</f>
        <v>#NAME?</v>
      </c>
      <c r="G51" s="4" t="e">
        <f t="shared" ca="1" si="6"/>
        <v>#NAME?</v>
      </c>
      <c r="H51" s="43" t="e">
        <f ca="1">D51+G51</f>
        <v>#NAME?</v>
      </c>
      <c r="I51" s="43"/>
      <c r="J51" s="36"/>
      <c r="K51" s="36"/>
      <c r="L51" s="36"/>
      <c r="M51" s="36"/>
      <c r="N51" s="36"/>
      <c r="O51" s="36"/>
      <c r="P51" s="36"/>
      <c r="Q51" s="36"/>
    </row>
    <row r="52" spans="2:17" s="165" customFormat="1" ht="6.6" customHeight="1">
      <c r="B52" s="55"/>
      <c r="C52" s="55"/>
      <c r="D52" s="39"/>
      <c r="E52" s="39"/>
      <c r="F52" s="16"/>
      <c r="G52" s="39"/>
      <c r="H52" s="74"/>
      <c r="I52" s="43"/>
      <c r="J52" s="36"/>
      <c r="K52" s="36"/>
      <c r="L52" s="36"/>
      <c r="M52" s="36"/>
      <c r="N52" s="36"/>
      <c r="O52" s="36"/>
      <c r="P52" s="36"/>
      <c r="Q52" s="36"/>
    </row>
    <row r="53" spans="2:17" s="165" customFormat="1" ht="18" hidden="1" outlineLevel="1">
      <c r="B53" s="22" t="s">
        <v>216</v>
      </c>
      <c r="C53" s="22"/>
      <c r="D53" s="48"/>
      <c r="E53" s="48"/>
      <c r="F53" s="24"/>
      <c r="G53" s="48"/>
      <c r="H53" s="74"/>
      <c r="I53" s="43"/>
      <c r="J53" s="36"/>
      <c r="K53" s="36"/>
      <c r="L53" s="36"/>
      <c r="M53" s="36"/>
      <c r="N53" s="36"/>
      <c r="O53" s="36"/>
      <c r="P53" s="36"/>
      <c r="Q53" s="36"/>
    </row>
    <row r="54" spans="2:17" s="165" customFormat="1" ht="18" hidden="1" outlineLevel="2">
      <c r="B54" s="53" t="e">
        <f ca="1">_xll.OneStop.ReportPlayer.OSRFunctions.OSRGet("Journal_Account","AccountNo")</f>
        <v>#NAME?</v>
      </c>
      <c r="C54" s="50" t="e">
        <f ca="1">_xll.OneStop.ReportPlayer.OSRFunctions.OSRGet("Journal_Account","AccountName")</f>
        <v>#NAME?</v>
      </c>
      <c r="D54" s="15" t="e">
        <f ca="1">_xll.OneStop.ReportPlayer.OSRFunctions.OSRGet("Journal_SubEntry","AmtCur")</f>
        <v>#NAME?</v>
      </c>
      <c r="E54" s="15"/>
      <c r="F54" s="5" t="e">
        <f ca="1">_xll.OneStop.ReportPlayer.OSRFunctions.OSRGet("Journal_SubEntry","AmtCur")</f>
        <v>#NAME?</v>
      </c>
      <c r="G54" s="15" t="e">
        <f ca="1">SUM(_xll.OneStop.ReportPlayer.OSRFunctions.OSRRef(F54))</f>
        <v>#NAME?</v>
      </c>
      <c r="H54" s="43" t="e">
        <f t="shared" ref="H54:H59" ca="1" si="7">D54+G54</f>
        <v>#NAME?</v>
      </c>
      <c r="I54" s="43"/>
      <c r="J54" s="36"/>
      <c r="K54" s="36"/>
      <c r="L54" s="36"/>
      <c r="M54" s="36"/>
      <c r="N54" s="36"/>
      <c r="O54" s="36"/>
      <c r="P54" s="36"/>
      <c r="Q54" s="36"/>
    </row>
    <row r="55" spans="2:17" s="165" customFormat="1" ht="18" hidden="1" outlineLevel="1" collapsed="1">
      <c r="B55" s="22" t="s">
        <v>520</v>
      </c>
      <c r="C55" s="22"/>
      <c r="D55" s="4" t="e">
        <f ca="1">SUM(_xll.OneStop.ReportPlayer.OSRFunctions.OSRRef(D54))</f>
        <v>#NAME?</v>
      </c>
      <c r="E55" s="4"/>
      <c r="F55" s="6" t="e">
        <f ca="1">SUM(_xll.OneStop.ReportPlayer.OSRFunctions.OSRRef(F54))</f>
        <v>#NAME?</v>
      </c>
      <c r="G55" s="4" t="e">
        <f ca="1">SUM(_xll.OneStop.ReportPlayer.OSRFunctions.OSRRef(G54))</f>
        <v>#NAME?</v>
      </c>
      <c r="H55" s="43" t="e">
        <f t="shared" ca="1" si="7"/>
        <v>#NAME?</v>
      </c>
      <c r="I55" s="43"/>
      <c r="J55" s="36"/>
      <c r="K55" s="36"/>
      <c r="L55" s="36"/>
      <c r="M55" s="36"/>
      <c r="N55" s="36"/>
      <c r="O55" s="36"/>
      <c r="P55" s="36"/>
      <c r="Q55" s="36"/>
    </row>
    <row r="56" spans="2:17" s="165" customFormat="1" ht="18" hidden="1" outlineLevel="2">
      <c r="B56" s="53" t="e">
        <f ca="1">_xll.OneStop.ReportPlayer.OSRFunctions.OSRGet("Journal_Account","AccountNo")</f>
        <v>#NAME?</v>
      </c>
      <c r="C56" s="50" t="e">
        <f ca="1">_xll.OneStop.ReportPlayer.OSRFunctions.OSRGet("Journal_Account","AccountName")</f>
        <v>#NAME?</v>
      </c>
      <c r="D56" s="15" t="e">
        <f ca="1">_xll.OneStop.ReportPlayer.OSRFunctions.OSRGet("Journal_SubEntry","AmtCur")</f>
        <v>#NAME?</v>
      </c>
      <c r="E56" s="15"/>
      <c r="F56" s="5" t="e">
        <f ca="1">_xll.OneStop.ReportPlayer.OSRFunctions.OSRGet("Journal_SubEntry","AmtCur")</f>
        <v>#NAME?</v>
      </c>
      <c r="G56" s="15" t="e">
        <f ca="1">SUM(_xll.OneStop.ReportPlayer.OSRFunctions.OSRRef(F56))</f>
        <v>#NAME?</v>
      </c>
      <c r="H56" s="43" t="e">
        <f t="shared" ca="1" si="7"/>
        <v>#NAME?</v>
      </c>
      <c r="I56" s="43"/>
      <c r="J56" s="36"/>
      <c r="K56" s="36"/>
      <c r="L56" s="36"/>
      <c r="M56" s="36"/>
      <c r="N56" s="36"/>
      <c r="O56" s="36"/>
      <c r="P56" s="36"/>
      <c r="Q56" s="36"/>
    </row>
    <row r="57" spans="2:17" s="165" customFormat="1" ht="18" hidden="1" outlineLevel="1" collapsed="1">
      <c r="B57" s="22" t="s">
        <v>217</v>
      </c>
      <c r="C57" s="22"/>
      <c r="D57" s="4" t="e">
        <f ca="1">SUM(_xll.OneStop.ReportPlayer.OSRFunctions.OSRRef(D56))</f>
        <v>#NAME?</v>
      </c>
      <c r="E57" s="4"/>
      <c r="F57" s="6" t="e">
        <f ca="1">SUM(_xll.OneStop.ReportPlayer.OSRFunctions.OSRRef(F56))</f>
        <v>#NAME?</v>
      </c>
      <c r="G57" s="4" t="e">
        <f ca="1">SUM(_xll.OneStop.ReportPlayer.OSRFunctions.OSRRef(G56))</f>
        <v>#NAME?</v>
      </c>
      <c r="H57" s="43" t="e">
        <f t="shared" ca="1" si="7"/>
        <v>#NAME?</v>
      </c>
      <c r="I57" s="43"/>
      <c r="J57" s="36"/>
      <c r="K57" s="36"/>
      <c r="L57" s="36"/>
      <c r="M57" s="36"/>
      <c r="N57" s="36"/>
      <c r="O57" s="36"/>
      <c r="P57" s="36"/>
      <c r="Q57" s="36"/>
    </row>
    <row r="58" spans="2:17" s="165" customFormat="1" ht="18" hidden="1" outlineLevel="2">
      <c r="B58" s="53" t="e">
        <f ca="1">_xll.OneStop.ReportPlayer.OSRFunctions.OSRGet("Journal_Account","AccountNo")</f>
        <v>#NAME?</v>
      </c>
      <c r="C58" s="50" t="e">
        <f ca="1">_xll.OneStop.ReportPlayer.OSRFunctions.OSRGet("Journal_Account","AccountName")</f>
        <v>#NAME?</v>
      </c>
      <c r="D58" s="15" t="e">
        <f ca="1">_xll.OneStop.ReportPlayer.OSRFunctions.OSRGet("Journal_SubEntry","AmtCur")</f>
        <v>#NAME?</v>
      </c>
      <c r="E58" s="15"/>
      <c r="F58" s="5" t="e">
        <f ca="1">_xll.OneStop.ReportPlayer.OSRFunctions.OSRGet("Journal_SubEntry","AmtCur")</f>
        <v>#NAME?</v>
      </c>
      <c r="G58" s="15" t="e">
        <f ca="1">SUM(_xll.OneStop.ReportPlayer.OSRFunctions.OSRRef(F58))</f>
        <v>#NAME?</v>
      </c>
      <c r="H58" s="43" t="e">
        <f t="shared" ca="1" si="7"/>
        <v>#NAME?</v>
      </c>
      <c r="I58" s="43"/>
      <c r="J58" s="36"/>
      <c r="K58" s="36"/>
      <c r="L58" s="36"/>
      <c r="M58" s="36"/>
      <c r="N58" s="36"/>
      <c r="O58" s="36"/>
      <c r="P58" s="36"/>
      <c r="Q58" s="36"/>
    </row>
    <row r="59" spans="2:17" s="165" customFormat="1" ht="18" hidden="1" outlineLevel="1" collapsed="1">
      <c r="B59" s="22" t="s">
        <v>415</v>
      </c>
      <c r="C59" s="22"/>
      <c r="D59" s="4" t="e">
        <f ca="1">SUM(_xll.OneStop.ReportPlayer.OSRFunctions.OSRRef(D58))</f>
        <v>#NAME?</v>
      </c>
      <c r="E59" s="4"/>
      <c r="F59" s="6" t="e">
        <f ca="1">SUM(_xll.OneStop.ReportPlayer.OSRFunctions.OSRRef(F58))</f>
        <v>#NAME?</v>
      </c>
      <c r="G59" s="4" t="e">
        <f ca="1">SUM(_xll.OneStop.ReportPlayer.OSRFunctions.OSRRef(G58))</f>
        <v>#NAME?</v>
      </c>
      <c r="H59" s="43" t="e">
        <f t="shared" ca="1" si="7"/>
        <v>#NAME?</v>
      </c>
      <c r="I59" s="43"/>
      <c r="J59" s="36"/>
      <c r="K59" s="36"/>
      <c r="L59" s="36"/>
      <c r="M59" s="36"/>
      <c r="N59" s="36"/>
      <c r="O59" s="36"/>
      <c r="P59" s="36"/>
      <c r="Q59" s="36"/>
    </row>
    <row r="60" spans="2:17" s="165" customFormat="1" ht="6.6" hidden="1" customHeight="1" outlineLevel="1" thickBot="1">
      <c r="B60" s="102"/>
      <c r="C60" s="101"/>
      <c r="D60" s="12"/>
      <c r="E60" s="12"/>
      <c r="F60" s="12"/>
      <c r="G60" s="12"/>
      <c r="H60" s="89"/>
      <c r="I60" s="96"/>
      <c r="J60" s="36"/>
      <c r="K60" s="36"/>
      <c r="L60" s="36"/>
      <c r="M60" s="36"/>
      <c r="N60" s="36"/>
      <c r="O60" s="36"/>
      <c r="P60" s="36"/>
      <c r="Q60" s="36"/>
    </row>
    <row r="61" spans="2:17" s="165" customFormat="1" ht="18" collapsed="1">
      <c r="B61" s="90" t="s">
        <v>160</v>
      </c>
      <c r="C61" s="95"/>
      <c r="D61" s="4" t="e">
        <f ca="1">D55+D57+D59</f>
        <v>#NAME?</v>
      </c>
      <c r="E61" s="4"/>
      <c r="F61" s="4" t="e">
        <f t="shared" ref="F61:G61" ca="1" si="8">F55+F57+F59</f>
        <v>#NAME?</v>
      </c>
      <c r="G61" s="4" t="e">
        <f t="shared" ca="1" si="8"/>
        <v>#NAME?</v>
      </c>
      <c r="H61" s="43" t="e">
        <f ca="1">D61+G61</f>
        <v>#NAME?</v>
      </c>
      <c r="I61" s="43"/>
      <c r="J61" s="36"/>
      <c r="K61" s="36"/>
      <c r="L61" s="36"/>
      <c r="M61" s="36"/>
      <c r="N61" s="36"/>
      <c r="O61" s="36"/>
      <c r="P61" s="36"/>
      <c r="Q61" s="36"/>
    </row>
    <row r="62" spans="2:17" s="165" customFormat="1" ht="6.6" customHeight="1" thickBot="1">
      <c r="B62" s="55"/>
      <c r="C62" s="55"/>
      <c r="D62" s="39"/>
      <c r="E62" s="39"/>
      <c r="F62" s="16"/>
      <c r="G62" s="39"/>
      <c r="H62" s="74"/>
      <c r="I62" s="43"/>
      <c r="J62" s="36"/>
      <c r="K62" s="36"/>
      <c r="L62" s="36"/>
      <c r="M62" s="36"/>
      <c r="N62" s="36"/>
      <c r="O62" s="36"/>
      <c r="P62" s="36"/>
      <c r="Q62" s="36"/>
    </row>
    <row r="63" spans="2:17" s="165" customFormat="1" ht="21.6" customHeight="1" thickTop="1" thickBot="1">
      <c r="B63" s="137" t="s">
        <v>95</v>
      </c>
      <c r="C63" s="145"/>
      <c r="D63" s="32" t="e">
        <f ca="1">D51+D61</f>
        <v>#NAME?</v>
      </c>
      <c r="E63" s="32"/>
      <c r="F63" s="32" t="e">
        <f t="shared" ref="F63:G63" ca="1" si="9">F51+F61</f>
        <v>#NAME?</v>
      </c>
      <c r="G63" s="32" t="e">
        <f t="shared" ca="1" si="9"/>
        <v>#NAME?</v>
      </c>
      <c r="H63" s="86" t="e">
        <f ca="1">D63+G63</f>
        <v>#NAME?</v>
      </c>
      <c r="I63" s="86"/>
      <c r="J63" s="36"/>
      <c r="K63" s="36"/>
      <c r="L63" s="36"/>
      <c r="M63" s="36"/>
      <c r="N63" s="36"/>
      <c r="O63" s="36"/>
      <c r="P63" s="36"/>
      <c r="Q63" s="36"/>
    </row>
    <row r="64" spans="2:17" s="135" customFormat="1" ht="11.45" customHeight="1" thickTop="1">
      <c r="D64" s="29"/>
      <c r="E64" s="29"/>
      <c r="F64" s="29"/>
      <c r="G64" s="29"/>
      <c r="H64" s="29"/>
      <c r="I64" s="4"/>
    </row>
    <row r="65" spans="2:18" s="172" customFormat="1" ht="18.600000000000001" customHeight="1">
      <c r="B65" s="139" t="s">
        <v>476</v>
      </c>
      <c r="C65" s="139"/>
      <c r="D65" s="51" t="e">
        <f ca="1">D39+D63</f>
        <v>#NAME?</v>
      </c>
      <c r="E65" s="51"/>
      <c r="F65" s="51" t="e">
        <f t="shared" ref="F65:H65" ca="1" si="10">F39+F63</f>
        <v>#NAME?</v>
      </c>
      <c r="G65" s="51" t="e">
        <f t="shared" ca="1" si="10"/>
        <v>#NAME?</v>
      </c>
      <c r="H65" s="51" t="e">
        <f t="shared" ca="1" si="10"/>
        <v>#NAME?</v>
      </c>
      <c r="I65" s="51">
        <f>I39-I63</f>
        <v>0</v>
      </c>
      <c r="J65" s="64"/>
      <c r="K65" s="64"/>
      <c r="L65" s="64"/>
      <c r="M65" s="64"/>
      <c r="N65" s="64"/>
      <c r="O65" s="64"/>
      <c r="P65" s="64"/>
      <c r="Q65" s="64"/>
    </row>
    <row r="66" spans="2:18" s="135" customFormat="1" ht="6.6" customHeight="1">
      <c r="D66" s="29"/>
      <c r="E66" s="29"/>
      <c r="F66" s="29"/>
      <c r="G66" s="29"/>
      <c r="H66" s="29"/>
      <c r="I66" s="4"/>
    </row>
    <row r="67" spans="2:18" s="110" customFormat="1" ht="6.6" customHeight="1">
      <c r="B67" s="76"/>
      <c r="C67" s="76"/>
      <c r="D67" s="23"/>
      <c r="E67" s="23"/>
      <c r="F67" s="23"/>
      <c r="G67" s="23"/>
      <c r="H67" s="23"/>
      <c r="J67" s="30"/>
      <c r="K67" s="30"/>
      <c r="L67" s="30"/>
      <c r="M67" s="30"/>
      <c r="N67" s="30"/>
      <c r="O67" s="30"/>
      <c r="P67" s="30"/>
      <c r="Q67" s="30"/>
      <c r="R67" s="30"/>
    </row>
    <row r="68" spans="2:18" s="40" customFormat="1" ht="15.6" customHeight="1">
      <c r="B68" s="161" t="s">
        <v>477</v>
      </c>
      <c r="C68" s="59"/>
      <c r="D68" s="13"/>
      <c r="E68" s="13"/>
      <c r="F68" s="13"/>
      <c r="G68" s="13"/>
      <c r="H68" s="13"/>
      <c r="J68" s="10"/>
      <c r="K68" s="10"/>
      <c r="L68" s="10"/>
      <c r="M68" s="10"/>
      <c r="N68" s="10"/>
      <c r="O68" s="10"/>
      <c r="P68" s="10"/>
      <c r="Q68" s="10"/>
      <c r="R68" s="10"/>
    </row>
    <row r="69" spans="2:18" s="40" customFormat="1" ht="6.6" customHeight="1">
      <c r="B69" s="8"/>
      <c r="C69" s="8"/>
      <c r="D69" s="26"/>
      <c r="E69" s="26"/>
      <c r="F69" s="26"/>
      <c r="G69" s="26"/>
      <c r="H69" s="92"/>
    </row>
    <row r="70" spans="2:18" s="59" customFormat="1" ht="21.6" customHeight="1">
      <c r="B70" s="114" t="s">
        <v>154</v>
      </c>
      <c r="C70" s="117"/>
      <c r="D70" s="14"/>
      <c r="E70" s="14"/>
      <c r="F70" s="28" t="e">
        <f ca="1">F51*-1</f>
        <v>#NAME?</v>
      </c>
      <c r="G70" s="14"/>
      <c r="H70" s="14"/>
      <c r="I70" s="160"/>
      <c r="J70" s="13"/>
      <c r="K70" s="13"/>
      <c r="L70" s="13"/>
      <c r="M70" s="13"/>
      <c r="N70" s="13"/>
      <c r="O70" s="13"/>
      <c r="P70" s="13"/>
      <c r="Q70" s="13"/>
      <c r="R70" s="13"/>
    </row>
    <row r="71" spans="2:18" s="59" customFormat="1" ht="21.6" customHeight="1">
      <c r="B71" s="114" t="s">
        <v>56</v>
      </c>
      <c r="C71" s="117"/>
      <c r="D71" s="14"/>
      <c r="E71" s="14"/>
      <c r="F71" s="14">
        <f ca="1">IFERROR(F51/F63,0)</f>
        <v>0</v>
      </c>
      <c r="G71" s="14"/>
      <c r="H71" s="14"/>
      <c r="I71" s="160"/>
      <c r="J71" s="13"/>
      <c r="K71" s="13"/>
      <c r="L71" s="13"/>
      <c r="M71" s="13"/>
      <c r="N71" s="13"/>
      <c r="O71" s="13"/>
      <c r="P71" s="13"/>
      <c r="Q71" s="13"/>
      <c r="R71" s="13"/>
    </row>
    <row r="72" spans="2:18" s="59" customFormat="1" ht="21.6" customHeight="1">
      <c r="B72" s="114" t="s">
        <v>397</v>
      </c>
      <c r="C72" s="117"/>
      <c r="D72" s="14"/>
      <c r="E72" s="14"/>
      <c r="F72" s="28" t="e">
        <f ca="1">F35</f>
        <v>#NAME?</v>
      </c>
      <c r="G72" s="14"/>
      <c r="H72" s="14"/>
      <c r="I72" s="160"/>
      <c r="J72" s="13"/>
      <c r="K72" s="13"/>
      <c r="L72" s="13"/>
      <c r="M72" s="13"/>
      <c r="N72" s="13"/>
      <c r="O72" s="13"/>
      <c r="P72" s="13"/>
      <c r="Q72" s="13"/>
      <c r="R72" s="13"/>
    </row>
    <row r="73" spans="2:18" s="59" customFormat="1" ht="21.6" customHeight="1">
      <c r="B73" s="114" t="s">
        <v>228</v>
      </c>
      <c r="C73" s="117"/>
      <c r="D73" s="14"/>
      <c r="E73" s="14"/>
      <c r="F73" s="28" t="e">
        <f ca="1">F37-(F59*-1)</f>
        <v>#NAME?</v>
      </c>
      <c r="G73" s="14"/>
      <c r="H73" s="14"/>
      <c r="I73" s="160"/>
      <c r="J73" s="13"/>
      <c r="K73" s="13"/>
      <c r="L73" s="13"/>
      <c r="M73" s="13"/>
      <c r="N73" s="13"/>
      <c r="O73" s="13"/>
      <c r="P73" s="13"/>
      <c r="Q73" s="13"/>
      <c r="R73" s="13"/>
    </row>
    <row r="74" spans="2:18" s="59" customFormat="1" ht="21.6" customHeight="1">
      <c r="B74" s="114" t="s">
        <v>155</v>
      </c>
      <c r="C74" s="117"/>
      <c r="D74" s="28">
        <f ca="1">IFERROR(_xll.OneStop.ReportPlayer.OSRFunctions.OSRRef(D51),0)</f>
        <v>0</v>
      </c>
      <c r="E74" s="175">
        <f t="shared" ref="E74:E77" ca="1" si="11">D74</f>
        <v>0</v>
      </c>
      <c r="F74" s="28" t="e">
        <f ca="1">_xll.OneStop.ReportPlayer.OSRFunctions.OSRRef(F51)+INDEX(1:311,ROW(),COLUMN()-1)</f>
        <v>#NAME?</v>
      </c>
      <c r="G74" s="14"/>
      <c r="H74" s="14"/>
      <c r="I74" s="160"/>
      <c r="J74" s="13"/>
      <c r="K74" s="13"/>
      <c r="L74" s="13"/>
      <c r="M74" s="13"/>
      <c r="N74" s="13"/>
      <c r="O74" s="13"/>
      <c r="P74" s="13"/>
      <c r="Q74" s="13"/>
      <c r="R74" s="13"/>
    </row>
    <row r="75" spans="2:18" s="59" customFormat="1" ht="21.6" customHeight="1">
      <c r="B75" s="114" t="s">
        <v>400</v>
      </c>
      <c r="C75" s="117"/>
      <c r="D75" s="28">
        <f ca="1">IFERROR(_xll.OneStop.ReportPlayer.OSRFunctions.OSRRef(D35),0)</f>
        <v>0</v>
      </c>
      <c r="E75" s="175">
        <f t="shared" ca="1" si="11"/>
        <v>0</v>
      </c>
      <c r="F75" s="28" t="e">
        <f ca="1">_xll.OneStop.ReportPlayer.OSRFunctions.OSRRef(F35)+INDEX(1:311,ROW(),COLUMN()-1)</f>
        <v>#NAME?</v>
      </c>
      <c r="G75" s="14"/>
      <c r="H75" s="14"/>
      <c r="I75" s="160"/>
      <c r="J75" s="13"/>
      <c r="K75" s="13"/>
      <c r="L75" s="13"/>
      <c r="M75" s="13"/>
      <c r="N75" s="13"/>
      <c r="O75" s="13"/>
      <c r="P75" s="13"/>
      <c r="Q75" s="13"/>
      <c r="R75" s="13"/>
    </row>
    <row r="76" spans="2:18" s="59" customFormat="1" ht="21.6" customHeight="1">
      <c r="B76" s="114" t="s">
        <v>156</v>
      </c>
      <c r="C76" s="117"/>
      <c r="D76" s="28" t="e">
        <f ca="1">_xll.OneStop.ReportPlayer.OSRFunctions.OSRRef(D37)-(_xll.OneStop.ReportPlayer.OSRFunctions.OSRRef(D59)*-1)</f>
        <v>#NAME?</v>
      </c>
      <c r="E76" s="175" t="e">
        <f t="shared" ca="1" si="11"/>
        <v>#NAME?</v>
      </c>
      <c r="F76" s="28" t="e">
        <f ca="1">_xll.OneStop.ReportPlayer.OSRFunctions.OSRRef(F59)+INDEX(1:311,ROW(),COLUMN()-1)</f>
        <v>#NAME?</v>
      </c>
      <c r="G76" s="14"/>
      <c r="H76" s="14"/>
      <c r="I76" s="160"/>
      <c r="J76" s="13"/>
      <c r="K76" s="13"/>
      <c r="L76" s="13"/>
      <c r="M76" s="13"/>
      <c r="N76" s="13"/>
      <c r="O76" s="13"/>
      <c r="P76" s="13"/>
      <c r="Q76" s="13"/>
      <c r="R76" s="13"/>
    </row>
    <row r="77" spans="2:18" s="59" customFormat="1" ht="21.6" customHeight="1">
      <c r="B77" s="114" t="s">
        <v>200</v>
      </c>
      <c r="C77" s="117"/>
      <c r="D77" s="28">
        <f ca="1">IFERROR(_xll.OneStop.ReportPlayer.OSRFunctions.OSRRef(D63),0)</f>
        <v>0</v>
      </c>
      <c r="E77" s="175">
        <f t="shared" ca="1" si="11"/>
        <v>0</v>
      </c>
      <c r="F77" s="28" t="e">
        <f ca="1">_xll.OneStop.ReportPlayer.OSRFunctions.OSRRef(F63)+INDEX(1:311,ROW(),COLUMN()-1)</f>
        <v>#NAME?</v>
      </c>
      <c r="G77" s="14"/>
      <c r="H77" s="14"/>
      <c r="I77" s="160"/>
      <c r="J77" s="13"/>
      <c r="K77" s="13"/>
      <c r="L77" s="13"/>
      <c r="M77" s="13"/>
      <c r="N77" s="13"/>
      <c r="O77" s="13"/>
      <c r="P77" s="13"/>
      <c r="Q77" s="13"/>
      <c r="R77" s="13"/>
    </row>
    <row r="78" spans="2:18" s="59" customFormat="1" ht="21.6" customHeight="1">
      <c r="B78" s="114" t="s">
        <v>370</v>
      </c>
      <c r="C78" s="117"/>
      <c r="D78" s="14"/>
      <c r="E78" s="14"/>
      <c r="F78" s="14">
        <f ca="1">IFERROR(F74/F77,0)</f>
        <v>0</v>
      </c>
      <c r="G78" s="14"/>
      <c r="H78" s="14"/>
      <c r="I78" s="160"/>
      <c r="J78" s="13"/>
      <c r="K78" s="13"/>
      <c r="L78" s="13"/>
      <c r="M78" s="13"/>
      <c r="N78" s="13"/>
      <c r="O78" s="13"/>
      <c r="P78" s="13"/>
      <c r="Q78" s="13"/>
      <c r="R78" s="13"/>
    </row>
    <row r="79" spans="2:18" s="40" customFormat="1" ht="6.6" customHeight="1">
      <c r="B79" s="114"/>
      <c r="C79" s="117"/>
      <c r="D79" s="14"/>
      <c r="E79" s="14"/>
      <c r="F79" s="28"/>
      <c r="G79" s="14"/>
      <c r="H79" s="14"/>
      <c r="I79" s="182"/>
      <c r="J79" s="10"/>
      <c r="K79" s="10"/>
      <c r="L79" s="10"/>
      <c r="M79" s="10"/>
      <c r="N79" s="10"/>
      <c r="O79" s="10"/>
      <c r="P79" s="10"/>
      <c r="Q79" s="10"/>
      <c r="R79" s="10"/>
    </row>
  </sheetData>
  <mergeCells count="4">
    <mergeCell ref="D5:H5"/>
    <mergeCell ref="B6:C6"/>
    <mergeCell ref="D6:H6"/>
    <mergeCell ref="F10:G10"/>
  </mergeCells>
  <hyperlinks>
    <hyperlink ref="B1" location="Forside!A1" display="Forside"/>
  </hyperlinks>
  <pageMargins left="0.7" right="0.7" top="0.75" bottom="0.75" header="0.3" footer="0.3"/>
  <pageSetup paperSize="9" scale="72" fitToHeight="0" orientation="portrait" verticalDpi="597"/>
  <headerFooter>
    <oddFooter>&amp;CSide &amp;P av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23"/>
  <sheetViews>
    <sheetView showGridLines="0" zoomScale="70" workbookViewId="0">
      <pane ySplit="15" topLeftCell="A16" activePane="bottomLeft" state="frozen"/>
      <selection activeCell="C29" sqref="C29"/>
      <selection pane="bottomLeft" activeCell="H111" sqref="H111"/>
    </sheetView>
  </sheetViews>
  <sheetFormatPr baseColWidth="10" defaultColWidth="9.140625" defaultRowHeight="12.75" outlineLevelRow="1"/>
  <cols>
    <col min="1" max="1" width="3.28515625" style="79" customWidth="1"/>
    <col min="2" max="2" width="10.7109375" style="79" customWidth="1"/>
    <col min="3" max="3" width="38.28515625" style="79" customWidth="1"/>
    <col min="4" max="9" width="18.7109375" style="79" customWidth="1"/>
    <col min="10" max="16384" width="9.140625" style="79"/>
  </cols>
  <sheetData>
    <row r="1" spans="2:10" s="40" customFormat="1" ht="15.6" customHeight="1">
      <c r="B1" s="59" t="s">
        <v>513</v>
      </c>
    </row>
    <row r="2" spans="2:10" s="40" customFormat="1" ht="21" customHeight="1">
      <c r="B2" s="82" t="s">
        <v>124</v>
      </c>
      <c r="D2" s="8"/>
      <c r="E2" s="8"/>
    </row>
    <row r="3" spans="2:10" s="40" customFormat="1" ht="30.6" customHeight="1">
      <c r="B3" s="85" t="s">
        <v>369</v>
      </c>
      <c r="D3" s="8"/>
      <c r="E3" s="8"/>
      <c r="G3" s="8"/>
      <c r="H3" s="8"/>
    </row>
    <row r="4" spans="2:10" s="40" customFormat="1" ht="21" customHeight="1"/>
    <row r="5" spans="2:10" s="40" customFormat="1" ht="15">
      <c r="B5" s="75" t="s">
        <v>201</v>
      </c>
      <c r="C5" s="109"/>
      <c r="D5" s="189" t="s">
        <v>121</v>
      </c>
      <c r="E5" s="190"/>
      <c r="F5" s="190"/>
    </row>
    <row r="6" spans="2:10" s="40" customFormat="1" ht="30" customHeight="1">
      <c r="B6" s="196">
        <f>D116</f>
        <v>1</v>
      </c>
      <c r="C6" s="197"/>
      <c r="D6" s="198">
        <f>D119</f>
        <v>0.62388369640587071</v>
      </c>
      <c r="E6" s="198"/>
      <c r="F6" s="198"/>
      <c r="G6" s="77"/>
      <c r="H6" s="77"/>
    </row>
    <row r="7" spans="2:10" s="40" customFormat="1" ht="13.9" customHeight="1"/>
    <row r="8" spans="2:10" s="45" customFormat="1" ht="9.6" customHeight="1"/>
    <row r="9" spans="2:10" s="40" customFormat="1" ht="15.6" customHeight="1">
      <c r="B9" s="83" t="s">
        <v>268</v>
      </c>
      <c r="C9" s="116">
        <v>202012</v>
      </c>
      <c r="F9" s="33"/>
      <c r="I9" s="33">
        <f ca="1">TODAY()</f>
        <v>44261</v>
      </c>
    </row>
    <row r="10" spans="2:10" s="45" customFormat="1" ht="6.6" customHeight="1">
      <c r="B10" s="81"/>
      <c r="C10" s="37"/>
      <c r="D10" s="37"/>
      <c r="E10" s="34"/>
      <c r="F10" s="125"/>
      <c r="G10" s="34"/>
      <c r="H10" s="34"/>
      <c r="I10" s="125"/>
    </row>
    <row r="11" spans="2:10" s="126" customFormat="1" ht="18">
      <c r="B11" s="103"/>
      <c r="C11" s="103"/>
      <c r="D11" s="25" t="s">
        <v>233</v>
      </c>
      <c r="E11" s="25" t="s">
        <v>233</v>
      </c>
      <c r="F11" s="124" t="s">
        <v>57</v>
      </c>
      <c r="G11" s="25" t="s">
        <v>233</v>
      </c>
      <c r="H11" s="25" t="s">
        <v>233</v>
      </c>
      <c r="I11" s="124" t="s">
        <v>57</v>
      </c>
    </row>
    <row r="12" spans="2:10" s="126" customFormat="1" ht="18">
      <c r="B12" s="154"/>
      <c r="C12" s="103"/>
      <c r="D12" s="60">
        <v>202012</v>
      </c>
      <c r="E12" s="25">
        <v>201912</v>
      </c>
      <c r="F12" s="124" t="s">
        <v>234</v>
      </c>
      <c r="G12" s="25" t="s">
        <v>510</v>
      </c>
      <c r="H12" s="25" t="s">
        <v>202</v>
      </c>
      <c r="I12" s="124" t="s">
        <v>234</v>
      </c>
    </row>
    <row r="13" spans="2:10" s="45" customFormat="1" ht="6.6" customHeight="1">
      <c r="B13" s="11"/>
      <c r="C13" s="11"/>
      <c r="D13" s="11"/>
      <c r="E13" s="11"/>
      <c r="F13" s="141"/>
      <c r="G13" s="11"/>
      <c r="H13" s="11"/>
      <c r="I13" s="141"/>
    </row>
    <row r="14" spans="2:10" s="45" customFormat="1" ht="2.4500000000000002" customHeight="1">
      <c r="B14" s="54"/>
      <c r="C14" s="54"/>
      <c r="D14" s="21"/>
      <c r="E14" s="21"/>
      <c r="F14" s="153"/>
      <c r="G14" s="21"/>
      <c r="H14" s="21"/>
      <c r="I14" s="153"/>
    </row>
    <row r="15" spans="2:10" s="45" customFormat="1" ht="6.6" customHeight="1">
      <c r="B15" s="56"/>
      <c r="C15" s="56"/>
      <c r="D15" s="17"/>
      <c r="E15" s="17"/>
      <c r="F15" s="146"/>
      <c r="G15" s="17"/>
      <c r="H15" s="17"/>
      <c r="I15" s="146"/>
    </row>
    <row r="16" spans="2:10" s="45" customFormat="1" ht="15" hidden="1" outlineLevel="1">
      <c r="B16" s="158"/>
      <c r="C16" s="147" t="s">
        <v>319</v>
      </c>
      <c r="D16" s="46">
        <f t="shared" ref="D16:D27" si="0">0*-1</f>
        <v>0</v>
      </c>
      <c r="E16" s="46">
        <f t="shared" ref="E16:E24" si="1">0*-1</f>
        <v>0</v>
      </c>
      <c r="F16" s="152">
        <f t="shared" ref="F16:F29" si="2">D16-E16</f>
        <v>0</v>
      </c>
      <c r="G16" s="46">
        <f>-34667.2*-1</f>
        <v>34667.199999999997</v>
      </c>
      <c r="H16" s="46">
        <f>-46869.6*-1</f>
        <v>46869.599999999999</v>
      </c>
      <c r="I16" s="152">
        <f t="shared" ref="I16:I29" si="3">G16-H16</f>
        <v>-12202.400000000001</v>
      </c>
      <c r="J16" s="31"/>
    </row>
    <row r="17" spans="2:10" s="45" customFormat="1" ht="15" hidden="1" outlineLevel="1">
      <c r="B17" s="158"/>
      <c r="C17" s="147" t="s">
        <v>275</v>
      </c>
      <c r="D17" s="46">
        <f t="shared" si="0"/>
        <v>0</v>
      </c>
      <c r="E17" s="46">
        <f t="shared" si="1"/>
        <v>0</v>
      </c>
      <c r="F17" s="152">
        <f t="shared" si="2"/>
        <v>0</v>
      </c>
      <c r="G17" s="46">
        <f>-120000*-1</f>
        <v>120000</v>
      </c>
      <c r="H17" s="46">
        <f>-100000*-1</f>
        <v>100000</v>
      </c>
      <c r="I17" s="152">
        <f t="shared" si="3"/>
        <v>20000</v>
      </c>
      <c r="J17" s="31"/>
    </row>
    <row r="18" spans="2:10" s="45" customFormat="1" ht="15" hidden="1" outlineLevel="1">
      <c r="B18" s="158"/>
      <c r="C18" s="147" t="s">
        <v>515</v>
      </c>
      <c r="D18" s="46">
        <f t="shared" si="0"/>
        <v>0</v>
      </c>
      <c r="E18" s="46">
        <f t="shared" si="1"/>
        <v>0</v>
      </c>
      <c r="F18" s="152">
        <f t="shared" si="2"/>
        <v>0</v>
      </c>
      <c r="G18" s="46">
        <f>-30175.36*-1</f>
        <v>30175.360000000001</v>
      </c>
      <c r="H18" s="46">
        <f>-10076.16*-1</f>
        <v>10076.16</v>
      </c>
      <c r="I18" s="152">
        <f t="shared" si="3"/>
        <v>20099.2</v>
      </c>
      <c r="J18" s="31"/>
    </row>
    <row r="19" spans="2:10" s="45" customFormat="1" ht="15" hidden="1" outlineLevel="1">
      <c r="B19" s="158"/>
      <c r="C19" s="147" t="s">
        <v>213</v>
      </c>
      <c r="D19" s="46">
        <f t="shared" si="0"/>
        <v>0</v>
      </c>
      <c r="E19" s="46">
        <f t="shared" si="1"/>
        <v>0</v>
      </c>
      <c r="F19" s="152">
        <f t="shared" si="2"/>
        <v>0</v>
      </c>
      <c r="G19" s="46">
        <f>-20500*-1</f>
        <v>20500</v>
      </c>
      <c r="H19" s="46">
        <f>0*-1</f>
        <v>0</v>
      </c>
      <c r="I19" s="152">
        <f t="shared" si="3"/>
        <v>20500</v>
      </c>
      <c r="J19" s="31"/>
    </row>
    <row r="20" spans="2:10" s="45" customFormat="1" ht="15" hidden="1" outlineLevel="1">
      <c r="B20" s="158"/>
      <c r="C20" s="147" t="s">
        <v>180</v>
      </c>
      <c r="D20" s="46">
        <f t="shared" si="0"/>
        <v>0</v>
      </c>
      <c r="E20" s="46">
        <f t="shared" si="1"/>
        <v>0</v>
      </c>
      <c r="F20" s="152">
        <f t="shared" si="2"/>
        <v>0</v>
      </c>
      <c r="G20" s="46">
        <f>-143350*-1</f>
        <v>143350</v>
      </c>
      <c r="H20" s="46">
        <f>-136245*-1</f>
        <v>136245</v>
      </c>
      <c r="I20" s="152">
        <f t="shared" si="3"/>
        <v>7105</v>
      </c>
      <c r="J20" s="31"/>
    </row>
    <row r="21" spans="2:10" s="45" customFormat="1" ht="15" hidden="1" outlineLevel="1">
      <c r="B21" s="158"/>
      <c r="C21" s="147" t="s">
        <v>35</v>
      </c>
      <c r="D21" s="46">
        <f t="shared" si="0"/>
        <v>0</v>
      </c>
      <c r="E21" s="46">
        <f t="shared" si="1"/>
        <v>0</v>
      </c>
      <c r="F21" s="152">
        <f t="shared" si="2"/>
        <v>0</v>
      </c>
      <c r="G21" s="46">
        <f>-231137.94*-1</f>
        <v>231137.94</v>
      </c>
      <c r="H21" s="46">
        <f>-82655*-1</f>
        <v>82655</v>
      </c>
      <c r="I21" s="152">
        <f t="shared" si="3"/>
        <v>148482.94</v>
      </c>
      <c r="J21" s="31"/>
    </row>
    <row r="22" spans="2:10" s="45" customFormat="1" ht="15" hidden="1" outlineLevel="1">
      <c r="B22" s="158"/>
      <c r="C22" s="147" t="s">
        <v>543</v>
      </c>
      <c r="D22" s="46">
        <f t="shared" si="0"/>
        <v>0</v>
      </c>
      <c r="E22" s="46">
        <f t="shared" si="1"/>
        <v>0</v>
      </c>
      <c r="F22" s="152">
        <f t="shared" si="2"/>
        <v>0</v>
      </c>
      <c r="G22" s="46">
        <f>-32125.35*-1</f>
        <v>32125.35</v>
      </c>
      <c r="H22" s="46">
        <f>-23039.97*-1</f>
        <v>23039.97</v>
      </c>
      <c r="I22" s="152">
        <f t="shared" si="3"/>
        <v>9085.3799999999974</v>
      </c>
      <c r="J22" s="31"/>
    </row>
    <row r="23" spans="2:10" s="45" customFormat="1" ht="15" hidden="1" outlineLevel="1">
      <c r="B23" s="158"/>
      <c r="C23" s="147" t="s">
        <v>408</v>
      </c>
      <c r="D23" s="46">
        <f t="shared" si="0"/>
        <v>0</v>
      </c>
      <c r="E23" s="46">
        <f t="shared" si="1"/>
        <v>0</v>
      </c>
      <c r="F23" s="152">
        <f t="shared" si="2"/>
        <v>0</v>
      </c>
      <c r="G23" s="46">
        <f>-2200*-1</f>
        <v>2200</v>
      </c>
      <c r="H23" s="46">
        <f>-375*-1</f>
        <v>375</v>
      </c>
      <c r="I23" s="152">
        <f t="shared" si="3"/>
        <v>1825</v>
      </c>
      <c r="J23" s="31"/>
    </row>
    <row r="24" spans="2:10" s="45" customFormat="1" ht="15" hidden="1" outlineLevel="1">
      <c r="B24" s="158"/>
      <c r="C24" s="147" t="s">
        <v>36</v>
      </c>
      <c r="D24" s="46">
        <f t="shared" si="0"/>
        <v>0</v>
      </c>
      <c r="E24" s="46">
        <f t="shared" si="1"/>
        <v>0</v>
      </c>
      <c r="F24" s="152">
        <f t="shared" si="2"/>
        <v>0</v>
      </c>
      <c r="G24" s="46">
        <f>-52000*-1</f>
        <v>52000</v>
      </c>
      <c r="H24" s="46">
        <f>-88400*-1</f>
        <v>88400</v>
      </c>
      <c r="I24" s="152">
        <f t="shared" si="3"/>
        <v>-36400</v>
      </c>
      <c r="J24" s="31"/>
    </row>
    <row r="25" spans="2:10" s="45" customFormat="1" ht="15" hidden="1" outlineLevel="1">
      <c r="B25" s="158"/>
      <c r="C25" s="147" t="s">
        <v>65</v>
      </c>
      <c r="D25" s="46">
        <f t="shared" si="0"/>
        <v>0</v>
      </c>
      <c r="E25" s="46">
        <f>-47434*-1</f>
        <v>47434</v>
      </c>
      <c r="F25" s="152">
        <f t="shared" si="2"/>
        <v>-47434</v>
      </c>
      <c r="G25" s="46">
        <f>-11059*-1</f>
        <v>11059</v>
      </c>
      <c r="H25" s="46">
        <f>-50993*-1</f>
        <v>50993</v>
      </c>
      <c r="I25" s="152">
        <f t="shared" si="3"/>
        <v>-39934</v>
      </c>
      <c r="J25" s="31"/>
    </row>
    <row r="26" spans="2:10" s="45" customFormat="1" ht="15" hidden="1" outlineLevel="1">
      <c r="B26" s="158"/>
      <c r="C26" s="147" t="s">
        <v>37</v>
      </c>
      <c r="D26" s="46">
        <f t="shared" si="0"/>
        <v>0</v>
      </c>
      <c r="E26" s="46">
        <f t="shared" ref="E26:E29" si="4">0*-1</f>
        <v>0</v>
      </c>
      <c r="F26" s="152">
        <f t="shared" si="2"/>
        <v>0</v>
      </c>
      <c r="G26" s="46">
        <f>-25165.42*-1</f>
        <v>25165.42</v>
      </c>
      <c r="H26" s="46">
        <f>-23999.94*-1</f>
        <v>23999.94</v>
      </c>
      <c r="I26" s="152">
        <f t="shared" si="3"/>
        <v>1165.4799999999996</v>
      </c>
      <c r="J26" s="31"/>
    </row>
    <row r="27" spans="2:10" s="45" customFormat="1" ht="15" hidden="1" outlineLevel="1">
      <c r="B27" s="158"/>
      <c r="C27" s="147" t="s">
        <v>320</v>
      </c>
      <c r="D27" s="46">
        <f t="shared" si="0"/>
        <v>0</v>
      </c>
      <c r="E27" s="46">
        <f t="shared" si="4"/>
        <v>0</v>
      </c>
      <c r="F27" s="152">
        <f t="shared" si="2"/>
        <v>0</v>
      </c>
      <c r="G27" s="46">
        <f>-8720*-1</f>
        <v>8720</v>
      </c>
      <c r="H27" s="46">
        <f>-1936*-1</f>
        <v>1936</v>
      </c>
      <c r="I27" s="152">
        <f t="shared" si="3"/>
        <v>6784</v>
      </c>
      <c r="J27" s="31"/>
    </row>
    <row r="28" spans="2:10" s="45" customFormat="1" ht="15" hidden="1" outlineLevel="1">
      <c r="B28" s="158"/>
      <c r="C28" s="147" t="s">
        <v>516</v>
      </c>
      <c r="D28" s="46">
        <f>-27689.6*-1</f>
        <v>27689.599999999999</v>
      </c>
      <c r="E28" s="46">
        <f t="shared" si="4"/>
        <v>0</v>
      </c>
      <c r="F28" s="152">
        <f t="shared" si="2"/>
        <v>27689.599999999999</v>
      </c>
      <c r="G28" s="46">
        <f>-27689.6*-1</f>
        <v>27689.599999999999</v>
      </c>
      <c r="H28" s="46">
        <f>0*-1</f>
        <v>0</v>
      </c>
      <c r="I28" s="152">
        <f t="shared" si="3"/>
        <v>27689.599999999999</v>
      </c>
      <c r="J28" s="31"/>
    </row>
    <row r="29" spans="2:10" s="45" customFormat="1" ht="15" hidden="1" outlineLevel="1">
      <c r="B29" s="158"/>
      <c r="C29" s="147" t="s">
        <v>276</v>
      </c>
      <c r="D29" s="46">
        <f>0*-1</f>
        <v>0</v>
      </c>
      <c r="E29" s="46">
        <f t="shared" si="4"/>
        <v>0</v>
      </c>
      <c r="F29" s="152">
        <f t="shared" si="2"/>
        <v>0</v>
      </c>
      <c r="G29" s="46">
        <f>0*-1</f>
        <v>0</v>
      </c>
      <c r="H29" s="46">
        <f>-10000*-1</f>
        <v>10000</v>
      </c>
      <c r="I29" s="152">
        <f t="shared" si="3"/>
        <v>-10000</v>
      </c>
      <c r="J29" s="31"/>
    </row>
    <row r="30" spans="2:10" s="127" customFormat="1" ht="20.25" collapsed="1">
      <c r="B30" s="7" t="s">
        <v>198</v>
      </c>
      <c r="C30" s="7"/>
      <c r="D30" s="1">
        <f t="shared" ref="D30:E30" si="5">SUM(D16:D29)</f>
        <v>27689.599999999999</v>
      </c>
      <c r="E30" s="1">
        <f t="shared" si="5"/>
        <v>47434</v>
      </c>
      <c r="F30" s="63">
        <f t="shared" ref="F30:F36" si="6">D30-E30</f>
        <v>-19744.400000000001</v>
      </c>
      <c r="G30" s="1">
        <f t="shared" ref="G30:H30" si="7">SUM(G16:G29)</f>
        <v>738789.87</v>
      </c>
      <c r="H30" s="1">
        <f t="shared" si="7"/>
        <v>574589.66999999993</v>
      </c>
      <c r="I30" s="63">
        <f t="shared" ref="I30:I36" si="8">G30-H30</f>
        <v>164200.20000000007</v>
      </c>
      <c r="J30" s="49"/>
    </row>
    <row r="31" spans="2:10" s="127" customFormat="1" ht="20.25" hidden="1" outlineLevel="1">
      <c r="B31" s="18"/>
      <c r="C31" s="19" t="s">
        <v>87</v>
      </c>
      <c r="D31" s="3"/>
      <c r="E31" s="3"/>
      <c r="F31" s="63">
        <f t="shared" si="6"/>
        <v>0</v>
      </c>
      <c r="G31" s="3">
        <v>19721.632000000001</v>
      </c>
      <c r="H31" s="3">
        <v>55850.8</v>
      </c>
      <c r="I31" s="63">
        <f t="shared" si="8"/>
        <v>-36129.168000000005</v>
      </c>
      <c r="J31" s="49"/>
    </row>
    <row r="32" spans="2:10" s="127" customFormat="1" ht="20.25" hidden="1" outlineLevel="1">
      <c r="B32" s="18"/>
      <c r="C32" s="19" t="s">
        <v>88</v>
      </c>
      <c r="D32" s="3"/>
      <c r="E32" s="3"/>
      <c r="F32" s="63">
        <f t="shared" si="6"/>
        <v>0</v>
      </c>
      <c r="G32" s="3">
        <v>9926</v>
      </c>
      <c r="H32" s="3"/>
      <c r="I32" s="63">
        <f t="shared" si="8"/>
        <v>9926</v>
      </c>
      <c r="J32" s="49"/>
    </row>
    <row r="33" spans="2:10" s="127" customFormat="1" ht="20.25" hidden="1" outlineLevel="1">
      <c r="B33" s="18"/>
      <c r="C33" s="19" t="s">
        <v>127</v>
      </c>
      <c r="D33" s="3"/>
      <c r="E33" s="3"/>
      <c r="F33" s="63">
        <f t="shared" si="6"/>
        <v>0</v>
      </c>
      <c r="G33" s="3">
        <v>11368</v>
      </c>
      <c r="H33" s="3">
        <v>15442</v>
      </c>
      <c r="I33" s="63">
        <f t="shared" si="8"/>
        <v>-4074</v>
      </c>
      <c r="J33" s="49"/>
    </row>
    <row r="34" spans="2:10" s="127" customFormat="1" ht="20.25" hidden="1" outlineLevel="1">
      <c r="B34" s="18"/>
      <c r="C34" s="19" t="s">
        <v>89</v>
      </c>
      <c r="D34" s="3"/>
      <c r="E34" s="3"/>
      <c r="F34" s="63">
        <f t="shared" si="6"/>
        <v>0</v>
      </c>
      <c r="G34" s="3">
        <v>18550.5</v>
      </c>
      <c r="H34" s="3">
        <v>-12165</v>
      </c>
      <c r="I34" s="63">
        <f t="shared" si="8"/>
        <v>30715.5</v>
      </c>
      <c r="J34" s="49"/>
    </row>
    <row r="35" spans="2:10" s="127" customFormat="1" ht="20.25" hidden="1" outlineLevel="1">
      <c r="B35" s="18"/>
      <c r="C35" s="19" t="s">
        <v>277</v>
      </c>
      <c r="D35" s="3"/>
      <c r="E35" s="3"/>
      <c r="F35" s="63">
        <f t="shared" si="6"/>
        <v>0</v>
      </c>
      <c r="G35" s="3">
        <v>32515.75</v>
      </c>
      <c r="H35" s="3"/>
      <c r="I35" s="63">
        <f t="shared" si="8"/>
        <v>32515.75</v>
      </c>
      <c r="J35" s="49"/>
    </row>
    <row r="36" spans="2:10" s="127" customFormat="1" ht="20.25" hidden="1" outlineLevel="1">
      <c r="B36" s="18"/>
      <c r="C36" s="19" t="s">
        <v>449</v>
      </c>
      <c r="D36" s="3"/>
      <c r="E36" s="3">
        <v>36000</v>
      </c>
      <c r="F36" s="63">
        <f t="shared" si="6"/>
        <v>-36000</v>
      </c>
      <c r="G36" s="3">
        <v>121866.75</v>
      </c>
      <c r="H36" s="3">
        <v>36000</v>
      </c>
      <c r="I36" s="63">
        <f t="shared" si="8"/>
        <v>85866.75</v>
      </c>
      <c r="J36" s="49"/>
    </row>
    <row r="37" spans="2:10" s="127" customFormat="1" ht="20.25" collapsed="1">
      <c r="B37" s="7" t="s">
        <v>505</v>
      </c>
      <c r="C37" s="7"/>
      <c r="D37" s="1">
        <f t="shared" ref="D37:E37" si="9">SUM(D31:D36)</f>
        <v>0</v>
      </c>
      <c r="E37" s="1">
        <f t="shared" si="9"/>
        <v>36000</v>
      </c>
      <c r="F37" s="63">
        <f>D37-E37</f>
        <v>-36000</v>
      </c>
      <c r="G37" s="1">
        <f t="shared" ref="G37:H37" si="10">SUM(G31:G36)</f>
        <v>213948.63199999998</v>
      </c>
      <c r="H37" s="1">
        <f t="shared" si="10"/>
        <v>95127.8</v>
      </c>
      <c r="I37" s="63">
        <f>G37-H37</f>
        <v>118820.83199999998</v>
      </c>
      <c r="J37" s="49"/>
    </row>
    <row r="38" spans="2:10" s="127" customFormat="1" ht="6.6" customHeight="1" thickBot="1">
      <c r="B38" s="65"/>
      <c r="C38" s="61"/>
      <c r="D38" s="35"/>
      <c r="E38" s="35"/>
      <c r="F38" s="62"/>
      <c r="G38" s="35"/>
      <c r="H38" s="35"/>
      <c r="I38" s="62"/>
      <c r="J38" s="49"/>
    </row>
    <row r="39" spans="2:10" s="127" customFormat="1" ht="21" thickTop="1">
      <c r="B39" s="73" t="s">
        <v>205</v>
      </c>
      <c r="C39" s="78"/>
      <c r="D39" s="1">
        <f t="shared" ref="D39:E39" si="11">D30-D37</f>
        <v>27689.599999999999</v>
      </c>
      <c r="E39" s="1">
        <f t="shared" si="11"/>
        <v>11434</v>
      </c>
      <c r="F39" s="63">
        <f>D39-E39</f>
        <v>16255.599999999999</v>
      </c>
      <c r="G39" s="1">
        <f t="shared" ref="G39:H39" si="12">G30-G37</f>
        <v>524841.23800000001</v>
      </c>
      <c r="H39" s="1">
        <f t="shared" si="12"/>
        <v>479461.86999999994</v>
      </c>
      <c r="I39" s="63">
        <f>G39-H39</f>
        <v>45379.368000000075</v>
      </c>
      <c r="J39" s="49"/>
    </row>
    <row r="40" spans="2:10" s="127" customFormat="1" ht="6.6" customHeight="1">
      <c r="B40" s="42"/>
      <c r="C40" s="42"/>
      <c r="D40" s="3"/>
      <c r="E40" s="3"/>
      <c r="F40" s="63"/>
      <c r="G40" s="3"/>
      <c r="H40" s="3"/>
      <c r="I40" s="63"/>
      <c r="J40" s="49"/>
    </row>
    <row r="41" spans="2:10" s="127" customFormat="1" ht="20.25" hidden="1" outlineLevel="1">
      <c r="B41" s="18"/>
      <c r="C41" s="19" t="s">
        <v>450</v>
      </c>
      <c r="D41" s="3"/>
      <c r="E41" s="3">
        <v>7159</v>
      </c>
      <c r="F41" s="63">
        <f t="shared" ref="F41:F48" si="13">D41-E41</f>
        <v>-7159</v>
      </c>
      <c r="G41" s="3">
        <v>62570</v>
      </c>
      <c r="H41" s="3">
        <v>99299</v>
      </c>
      <c r="I41" s="63">
        <f t="shared" ref="I41:I48" si="14">G41-H41</f>
        <v>-36729</v>
      </c>
      <c r="J41" s="49"/>
    </row>
    <row r="42" spans="2:10" s="127" customFormat="1" ht="20.25" hidden="1" outlineLevel="1">
      <c r="B42" s="18"/>
      <c r="C42" s="19" t="s">
        <v>451</v>
      </c>
      <c r="D42" s="3"/>
      <c r="E42" s="3">
        <v>894.88</v>
      </c>
      <c r="F42" s="63">
        <f t="shared" si="13"/>
        <v>-894.88</v>
      </c>
      <c r="G42" s="3">
        <v>7821.28</v>
      </c>
      <c r="H42" s="3">
        <v>11939.78</v>
      </c>
      <c r="I42" s="63">
        <f t="shared" si="14"/>
        <v>-4118.5000000000009</v>
      </c>
      <c r="J42" s="49"/>
    </row>
    <row r="43" spans="2:10" s="127" customFormat="1" ht="20.25" hidden="1" outlineLevel="1">
      <c r="B43" s="18"/>
      <c r="C43" s="19" t="s">
        <v>181</v>
      </c>
      <c r="D43" s="3"/>
      <c r="E43" s="3">
        <v>261</v>
      </c>
      <c r="F43" s="63">
        <f t="shared" si="13"/>
        <v>-261</v>
      </c>
      <c r="G43" s="3"/>
      <c r="H43" s="3">
        <v>261</v>
      </c>
      <c r="I43" s="63">
        <f t="shared" si="14"/>
        <v>-261</v>
      </c>
      <c r="J43" s="49"/>
    </row>
    <row r="44" spans="2:10" s="127" customFormat="1" ht="20.25" hidden="1" outlineLevel="1">
      <c r="B44" s="18"/>
      <c r="C44" s="19" t="s">
        <v>243</v>
      </c>
      <c r="D44" s="3"/>
      <c r="E44" s="3">
        <v>-261</v>
      </c>
      <c r="F44" s="63">
        <f t="shared" si="13"/>
        <v>261</v>
      </c>
      <c r="G44" s="3"/>
      <c r="H44" s="3">
        <v>-261</v>
      </c>
      <c r="I44" s="63">
        <f t="shared" si="14"/>
        <v>261</v>
      </c>
      <c r="J44" s="49"/>
    </row>
    <row r="45" spans="2:10" s="127" customFormat="1" ht="20.25" hidden="1" outlineLevel="1">
      <c r="B45" s="18"/>
      <c r="C45" s="19" t="s">
        <v>321</v>
      </c>
      <c r="D45" s="3"/>
      <c r="E45" s="3">
        <v>786.52</v>
      </c>
      <c r="F45" s="63">
        <f t="shared" si="13"/>
        <v>-786.52</v>
      </c>
      <c r="G45" s="3">
        <v>6058.4</v>
      </c>
      <c r="H45" s="3">
        <v>10553.32</v>
      </c>
      <c r="I45" s="63">
        <f t="shared" si="14"/>
        <v>-4494.92</v>
      </c>
      <c r="J45" s="49"/>
    </row>
    <row r="46" spans="2:10" s="127" customFormat="1" ht="20.25" hidden="1" outlineLevel="1">
      <c r="B46" s="18"/>
      <c r="C46" s="19" t="s">
        <v>244</v>
      </c>
      <c r="D46" s="3"/>
      <c r="E46" s="3"/>
      <c r="F46" s="63">
        <f t="shared" si="13"/>
        <v>0</v>
      </c>
      <c r="G46" s="3"/>
      <c r="H46" s="3">
        <v>0</v>
      </c>
      <c r="I46" s="63">
        <f t="shared" si="14"/>
        <v>0</v>
      </c>
      <c r="J46" s="49"/>
    </row>
    <row r="47" spans="2:10" s="127" customFormat="1" ht="20.25" hidden="1" outlineLevel="1">
      <c r="B47" s="18"/>
      <c r="C47" s="19" t="s">
        <v>90</v>
      </c>
      <c r="D47" s="3"/>
      <c r="E47" s="3">
        <v>94.85</v>
      </c>
      <c r="F47" s="63">
        <f t="shared" si="13"/>
        <v>-94.85</v>
      </c>
      <c r="G47" s="3">
        <v>829.02</v>
      </c>
      <c r="H47" s="3">
        <v>1265.54</v>
      </c>
      <c r="I47" s="63">
        <f t="shared" si="14"/>
        <v>-436.52</v>
      </c>
      <c r="J47" s="49"/>
    </row>
    <row r="48" spans="2:10" s="127" customFormat="1" ht="20.25" hidden="1" outlineLevel="1">
      <c r="B48" s="18"/>
      <c r="C48" s="19" t="s">
        <v>409</v>
      </c>
      <c r="D48" s="3">
        <v>-1911.5</v>
      </c>
      <c r="E48" s="3"/>
      <c r="F48" s="63">
        <f t="shared" si="13"/>
        <v>-1911.5</v>
      </c>
      <c r="G48" s="3">
        <v>3753.5</v>
      </c>
      <c r="H48" s="3">
        <v>6752</v>
      </c>
      <c r="I48" s="63">
        <f t="shared" si="14"/>
        <v>-2998.5</v>
      </c>
      <c r="J48" s="49"/>
    </row>
    <row r="49" spans="2:10" s="127" customFormat="1" ht="20.25" collapsed="1">
      <c r="B49" s="7" t="s">
        <v>310</v>
      </c>
      <c r="C49" s="7"/>
      <c r="D49" s="1">
        <f t="shared" ref="D49:E49" si="15">SUM(D41:D48)</f>
        <v>-1911.5</v>
      </c>
      <c r="E49" s="1">
        <f t="shared" si="15"/>
        <v>8935.2500000000018</v>
      </c>
      <c r="F49" s="63">
        <f>D49-E49</f>
        <v>-10846.750000000002</v>
      </c>
      <c r="G49" s="1">
        <f t="shared" ref="G49:H49" si="16">SUM(G41:G48)</f>
        <v>81032.2</v>
      </c>
      <c r="H49" s="1">
        <f t="shared" si="16"/>
        <v>129809.64</v>
      </c>
      <c r="I49" s="63">
        <f>G49-H49</f>
        <v>-48777.440000000002</v>
      </c>
      <c r="J49" s="49"/>
    </row>
    <row r="50" spans="2:10" s="127" customFormat="1" ht="20.25">
      <c r="B50" s="7" t="s">
        <v>171</v>
      </c>
      <c r="C50" s="7"/>
      <c r="D50" s="1">
        <f t="shared" ref="D50:E50" si="17">SUM(0)</f>
        <v>0</v>
      </c>
      <c r="E50" s="1">
        <f t="shared" si="17"/>
        <v>0</v>
      </c>
      <c r="F50" s="63">
        <f t="shared" ref="F50:F52" si="18">D50-E50</f>
        <v>0</v>
      </c>
      <c r="G50" s="1">
        <f t="shared" ref="G50:H50" si="19">SUM(0)</f>
        <v>0</v>
      </c>
      <c r="H50" s="1">
        <f t="shared" si="19"/>
        <v>0</v>
      </c>
      <c r="I50" s="63">
        <f t="shared" ref="I50:I52" si="20">G50-H50</f>
        <v>0</v>
      </c>
      <c r="J50" s="49"/>
    </row>
    <row r="51" spans="2:10" s="127" customFormat="1" ht="20.25" hidden="1" outlineLevel="1">
      <c r="B51" s="18"/>
      <c r="C51" s="19" t="s">
        <v>452</v>
      </c>
      <c r="D51" s="3">
        <v>1253.4559999999999</v>
      </c>
      <c r="E51" s="3">
        <v>1124.8699999999999</v>
      </c>
      <c r="F51" s="63">
        <f t="shared" si="18"/>
        <v>128.58600000000001</v>
      </c>
      <c r="G51" s="3">
        <v>13862.286</v>
      </c>
      <c r="H51" s="3">
        <v>14716.384700000001</v>
      </c>
      <c r="I51" s="63">
        <f t="shared" si="20"/>
        <v>-854.09870000000046</v>
      </c>
      <c r="J51" s="49"/>
    </row>
    <row r="52" spans="2:10" s="127" customFormat="1" ht="20.25" hidden="1" outlineLevel="1">
      <c r="B52" s="18"/>
      <c r="C52" s="19" t="s">
        <v>278</v>
      </c>
      <c r="D52" s="3"/>
      <c r="E52" s="3"/>
      <c r="F52" s="63">
        <f t="shared" si="18"/>
        <v>0</v>
      </c>
      <c r="G52" s="3">
        <v>707.2</v>
      </c>
      <c r="H52" s="3"/>
      <c r="I52" s="63">
        <f t="shared" si="20"/>
        <v>707.2</v>
      </c>
      <c r="J52" s="49"/>
    </row>
    <row r="53" spans="2:10" s="127" customFormat="1" ht="20.25" collapsed="1">
      <c r="B53" s="7" t="s">
        <v>61</v>
      </c>
      <c r="C53" s="7"/>
      <c r="D53" s="1">
        <f t="shared" ref="D53:E53" si="21">SUM(D51:D52)</f>
        <v>1253.4559999999999</v>
      </c>
      <c r="E53" s="1">
        <f t="shared" si="21"/>
        <v>1124.8699999999999</v>
      </c>
      <c r="F53" s="63">
        <f t="shared" ref="F53:F55" si="22">D53-E53</f>
        <v>128.58600000000001</v>
      </c>
      <c r="G53" s="1">
        <f t="shared" ref="G53:H53" si="23">SUM(G51:G52)</f>
        <v>14569.486000000001</v>
      </c>
      <c r="H53" s="1">
        <f t="shared" si="23"/>
        <v>14716.384700000001</v>
      </c>
      <c r="I53" s="63">
        <f t="shared" ref="I53:I55" si="24">G53-H53</f>
        <v>-146.89869999999974</v>
      </c>
      <c r="J53" s="49"/>
    </row>
    <row r="54" spans="2:10" s="127" customFormat="1" ht="20.25" hidden="1" outlineLevel="1">
      <c r="B54" s="18"/>
      <c r="C54" s="19" t="s">
        <v>91</v>
      </c>
      <c r="D54" s="3">
        <v>1775.2439999999999</v>
      </c>
      <c r="E54" s="3"/>
      <c r="F54" s="63">
        <f t="shared" si="22"/>
        <v>1775.2439999999999</v>
      </c>
      <c r="G54" s="3">
        <v>9538.35</v>
      </c>
      <c r="H54" s="3">
        <v>6817.34</v>
      </c>
      <c r="I54" s="63">
        <f t="shared" si="24"/>
        <v>2721.01</v>
      </c>
      <c r="J54" s="49"/>
    </row>
    <row r="55" spans="2:10" s="127" customFormat="1" ht="20.25" hidden="1" outlineLevel="1">
      <c r="B55" s="18"/>
      <c r="C55" s="19" t="s">
        <v>544</v>
      </c>
      <c r="D55" s="3"/>
      <c r="E55" s="3"/>
      <c r="F55" s="63">
        <f t="shared" si="22"/>
        <v>0</v>
      </c>
      <c r="G55" s="3"/>
      <c r="H55" s="3">
        <v>1.1999999999999999E-3</v>
      </c>
      <c r="I55" s="63">
        <f t="shared" si="24"/>
        <v>-1.1999999999999999E-3</v>
      </c>
      <c r="J55" s="49"/>
    </row>
    <row r="56" spans="2:10" s="127" customFormat="1" ht="20.25" collapsed="1">
      <c r="B56" s="7" t="s">
        <v>541</v>
      </c>
      <c r="C56" s="7"/>
      <c r="D56" s="1">
        <f t="shared" ref="D56:E56" si="25">SUM(D54:D55)</f>
        <v>1775.2439999999999</v>
      </c>
      <c r="E56" s="1">
        <f t="shared" si="25"/>
        <v>0</v>
      </c>
      <c r="F56" s="63">
        <f t="shared" ref="F56:F60" si="26">D56-E56</f>
        <v>1775.2439999999999</v>
      </c>
      <c r="G56" s="1">
        <f t="shared" ref="G56:H56" si="27">SUM(G54:G55)</f>
        <v>9538.35</v>
      </c>
      <c r="H56" s="1">
        <f t="shared" si="27"/>
        <v>6817.3411999999998</v>
      </c>
      <c r="I56" s="63">
        <f t="shared" ref="I56:I60" si="28">G56-H56</f>
        <v>2721.0088000000005</v>
      </c>
      <c r="J56" s="49"/>
    </row>
    <row r="57" spans="2:10" s="127" customFormat="1" ht="20.25" hidden="1" outlineLevel="1">
      <c r="B57" s="18"/>
      <c r="C57" s="19" t="s">
        <v>487</v>
      </c>
      <c r="D57" s="3"/>
      <c r="E57" s="3"/>
      <c r="F57" s="63">
        <f t="shared" si="26"/>
        <v>0</v>
      </c>
      <c r="G57" s="3">
        <v>2287.2800000000002</v>
      </c>
      <c r="H57" s="3">
        <v>982.22</v>
      </c>
      <c r="I57" s="63">
        <f t="shared" si="28"/>
        <v>1305.0600000000002</v>
      </c>
      <c r="J57" s="49"/>
    </row>
    <row r="58" spans="2:10" s="127" customFormat="1" ht="20.25" hidden="1" outlineLevel="1">
      <c r="B58" s="18"/>
      <c r="C58" s="19" t="s">
        <v>410</v>
      </c>
      <c r="D58" s="3">
        <v>344.38</v>
      </c>
      <c r="E58" s="3"/>
      <c r="F58" s="63">
        <f t="shared" si="26"/>
        <v>344.38</v>
      </c>
      <c r="G58" s="3">
        <v>4132.5600000000004</v>
      </c>
      <c r="H58" s="3">
        <v>3027.7671999999998</v>
      </c>
      <c r="I58" s="63">
        <f t="shared" si="28"/>
        <v>1104.7928000000006</v>
      </c>
      <c r="J58" s="49"/>
    </row>
    <row r="59" spans="2:10" s="127" customFormat="1" ht="20.25" hidden="1" outlineLevel="1">
      <c r="B59" s="18"/>
      <c r="C59" s="19" t="s">
        <v>377</v>
      </c>
      <c r="D59" s="3"/>
      <c r="E59" s="3"/>
      <c r="F59" s="63">
        <f t="shared" si="26"/>
        <v>0</v>
      </c>
      <c r="G59" s="3"/>
      <c r="H59" s="3">
        <v>0</v>
      </c>
      <c r="I59" s="63">
        <f t="shared" si="28"/>
        <v>0</v>
      </c>
      <c r="J59" s="49"/>
    </row>
    <row r="60" spans="2:10" s="127" customFormat="1" ht="20.25" hidden="1" outlineLevel="1">
      <c r="B60" s="18"/>
      <c r="C60" s="19" t="s">
        <v>279</v>
      </c>
      <c r="D60" s="3"/>
      <c r="E60" s="3"/>
      <c r="F60" s="63">
        <f t="shared" si="26"/>
        <v>0</v>
      </c>
      <c r="G60" s="3">
        <v>66917</v>
      </c>
      <c r="H60" s="3">
        <v>66021</v>
      </c>
      <c r="I60" s="63">
        <f t="shared" si="28"/>
        <v>896</v>
      </c>
      <c r="J60" s="49"/>
    </row>
    <row r="61" spans="2:10" s="127" customFormat="1" ht="20.25" collapsed="1">
      <c r="B61" s="7" t="s">
        <v>172</v>
      </c>
      <c r="C61" s="7"/>
      <c r="D61" s="1">
        <f t="shared" ref="D61:E61" si="29">SUM(D57:D60)</f>
        <v>344.38</v>
      </c>
      <c r="E61" s="1">
        <f t="shared" si="29"/>
        <v>0</v>
      </c>
      <c r="F61" s="63">
        <f t="shared" ref="F61:F66" si="30">D61-E61</f>
        <v>344.38</v>
      </c>
      <c r="G61" s="1">
        <f t="shared" ref="G61:H61" si="31">SUM(G57:G60)</f>
        <v>73336.84</v>
      </c>
      <c r="H61" s="1">
        <f t="shared" si="31"/>
        <v>70030.987200000003</v>
      </c>
      <c r="I61" s="63">
        <f t="shared" ref="I61:I66" si="32">G61-H61</f>
        <v>3305.8527999999933</v>
      </c>
      <c r="J61" s="49"/>
    </row>
    <row r="62" spans="2:10" s="127" customFormat="1" ht="20.25" hidden="1" outlineLevel="1">
      <c r="B62" s="18"/>
      <c r="C62" s="19" t="s">
        <v>245</v>
      </c>
      <c r="D62" s="3"/>
      <c r="E62" s="3"/>
      <c r="F62" s="63">
        <f t="shared" si="30"/>
        <v>0</v>
      </c>
      <c r="G62" s="3">
        <v>2302</v>
      </c>
      <c r="H62" s="3"/>
      <c r="I62" s="63">
        <f t="shared" si="32"/>
        <v>2302</v>
      </c>
      <c r="J62" s="49"/>
    </row>
    <row r="63" spans="2:10" s="127" customFormat="1" ht="20.25" hidden="1" outlineLevel="1">
      <c r="B63" s="18"/>
      <c r="C63" s="19" t="s">
        <v>177</v>
      </c>
      <c r="D63" s="3"/>
      <c r="E63" s="3"/>
      <c r="F63" s="63">
        <f t="shared" si="30"/>
        <v>0</v>
      </c>
      <c r="G63" s="3"/>
      <c r="H63" s="3">
        <v>8670</v>
      </c>
      <c r="I63" s="63">
        <f t="shared" si="32"/>
        <v>-8670</v>
      </c>
      <c r="J63" s="49"/>
    </row>
    <row r="64" spans="2:10" s="127" customFormat="1" ht="20.25" hidden="1" outlineLevel="1">
      <c r="B64" s="18"/>
      <c r="C64" s="19" t="s">
        <v>345</v>
      </c>
      <c r="D64" s="3"/>
      <c r="E64" s="3"/>
      <c r="F64" s="63">
        <f t="shared" si="30"/>
        <v>0</v>
      </c>
      <c r="G64" s="3">
        <v>481.14</v>
      </c>
      <c r="H64" s="3"/>
      <c r="I64" s="63">
        <f t="shared" si="32"/>
        <v>481.14</v>
      </c>
      <c r="J64" s="49"/>
    </row>
    <row r="65" spans="2:10" s="127" customFormat="1" ht="20.25" hidden="1" outlineLevel="1">
      <c r="B65" s="18"/>
      <c r="C65" s="19" t="s">
        <v>280</v>
      </c>
      <c r="D65" s="3"/>
      <c r="E65" s="3"/>
      <c r="F65" s="63">
        <f t="shared" si="30"/>
        <v>0</v>
      </c>
      <c r="G65" s="3">
        <v>5991.62</v>
      </c>
      <c r="H65" s="3">
        <v>207.5564</v>
      </c>
      <c r="I65" s="63">
        <f t="shared" si="32"/>
        <v>5784.0635999999995</v>
      </c>
      <c r="J65" s="49"/>
    </row>
    <row r="66" spans="2:10" s="127" customFormat="1" ht="20.25" hidden="1" outlineLevel="1">
      <c r="B66" s="18"/>
      <c r="C66" s="19" t="s">
        <v>517</v>
      </c>
      <c r="D66" s="3"/>
      <c r="E66" s="3"/>
      <c r="F66" s="63">
        <f t="shared" si="30"/>
        <v>0</v>
      </c>
      <c r="G66" s="3">
        <v>341.62</v>
      </c>
      <c r="H66" s="3"/>
      <c r="I66" s="63">
        <f t="shared" si="32"/>
        <v>341.62</v>
      </c>
      <c r="J66" s="49"/>
    </row>
    <row r="67" spans="2:10" s="127" customFormat="1" ht="20.25" collapsed="1">
      <c r="B67" s="7" t="s">
        <v>480</v>
      </c>
      <c r="C67" s="7"/>
      <c r="D67" s="1">
        <f t="shared" ref="D67:E67" si="33">SUM(D62:D66)</f>
        <v>0</v>
      </c>
      <c r="E67" s="1">
        <f t="shared" si="33"/>
        <v>0</v>
      </c>
      <c r="F67" s="63">
        <f t="shared" ref="F67:F70" si="34">D67-E67</f>
        <v>0</v>
      </c>
      <c r="G67" s="1">
        <f t="shared" ref="G67:H67" si="35">SUM(G62:G66)</f>
        <v>9116.380000000001</v>
      </c>
      <c r="H67" s="1">
        <f t="shared" si="35"/>
        <v>8877.5563999999995</v>
      </c>
      <c r="I67" s="63">
        <f t="shared" ref="I67:I70" si="36">G67-H67</f>
        <v>238.82360000000153</v>
      </c>
      <c r="J67" s="49"/>
    </row>
    <row r="68" spans="2:10" s="127" customFormat="1" ht="20.25" hidden="1" outlineLevel="1">
      <c r="B68" s="18"/>
      <c r="C68" s="19" t="s">
        <v>346</v>
      </c>
      <c r="D68" s="3"/>
      <c r="E68" s="3"/>
      <c r="F68" s="63">
        <f t="shared" si="34"/>
        <v>0</v>
      </c>
      <c r="G68" s="3">
        <v>2044.2360000000001</v>
      </c>
      <c r="H68" s="3">
        <v>2771.732</v>
      </c>
      <c r="I68" s="63">
        <f t="shared" si="36"/>
        <v>-727.49599999999987</v>
      </c>
      <c r="J68" s="49"/>
    </row>
    <row r="69" spans="2:10" s="127" customFormat="1" ht="20.25" hidden="1" outlineLevel="1">
      <c r="B69" s="18"/>
      <c r="C69" s="19" t="s">
        <v>182</v>
      </c>
      <c r="D69" s="3"/>
      <c r="E69" s="3"/>
      <c r="F69" s="63">
        <f t="shared" si="34"/>
        <v>0</v>
      </c>
      <c r="G69" s="3">
        <v>66153.039999999994</v>
      </c>
      <c r="H69" s="3">
        <v>72777.682799999995</v>
      </c>
      <c r="I69" s="63">
        <f t="shared" si="36"/>
        <v>-6624.6428000000014</v>
      </c>
      <c r="J69" s="49"/>
    </row>
    <row r="70" spans="2:10" s="127" customFormat="1" ht="20.25" hidden="1" outlineLevel="1">
      <c r="B70" s="18"/>
      <c r="C70" s="19" t="s">
        <v>347</v>
      </c>
      <c r="D70" s="3"/>
      <c r="E70" s="3"/>
      <c r="F70" s="63">
        <f t="shared" si="34"/>
        <v>0</v>
      </c>
      <c r="G70" s="3">
        <v>53404.642</v>
      </c>
      <c r="H70" s="3">
        <v>18555.861400000002</v>
      </c>
      <c r="I70" s="63">
        <f t="shared" si="36"/>
        <v>34848.780599999998</v>
      </c>
      <c r="J70" s="49"/>
    </row>
    <row r="71" spans="2:10" s="127" customFormat="1" ht="20.25" collapsed="1">
      <c r="B71" s="7" t="s">
        <v>443</v>
      </c>
      <c r="C71" s="7"/>
      <c r="D71" s="1">
        <f t="shared" ref="D71:E71" si="37">SUM(D68:D70)</f>
        <v>0</v>
      </c>
      <c r="E71" s="1">
        <f t="shared" si="37"/>
        <v>0</v>
      </c>
      <c r="F71" s="63">
        <f t="shared" ref="F71:F74" si="38">D71-E71</f>
        <v>0</v>
      </c>
      <c r="G71" s="1">
        <f t="shared" ref="G71:H71" si="39">SUM(G68:G70)</f>
        <v>121601.91800000001</v>
      </c>
      <c r="H71" s="1">
        <f t="shared" si="39"/>
        <v>94105.276199999993</v>
      </c>
      <c r="I71" s="63">
        <f t="shared" ref="I71:I74" si="40">G71-H71</f>
        <v>27496.641800000012</v>
      </c>
      <c r="J71" s="49"/>
    </row>
    <row r="72" spans="2:10" s="127" customFormat="1" ht="20.25" hidden="1" outlineLevel="1">
      <c r="B72" s="18"/>
      <c r="C72" s="19" t="s">
        <v>488</v>
      </c>
      <c r="D72" s="3">
        <v>245.85</v>
      </c>
      <c r="E72" s="3">
        <v>3293.38</v>
      </c>
      <c r="F72" s="63">
        <f t="shared" si="38"/>
        <v>-3047.53</v>
      </c>
      <c r="G72" s="3">
        <v>53794.97</v>
      </c>
      <c r="H72" s="3">
        <v>49739.630400000002</v>
      </c>
      <c r="I72" s="63">
        <f t="shared" si="40"/>
        <v>4055.3395999999993</v>
      </c>
      <c r="J72" s="49"/>
    </row>
    <row r="73" spans="2:10" s="127" customFormat="1" ht="20.25" hidden="1" outlineLevel="1">
      <c r="B73" s="18"/>
      <c r="C73" s="19" t="s">
        <v>453</v>
      </c>
      <c r="D73" s="3"/>
      <c r="E73" s="3"/>
      <c r="F73" s="63">
        <f t="shared" si="38"/>
        <v>0</v>
      </c>
      <c r="G73" s="3"/>
      <c r="H73" s="3">
        <v>861.46320000000003</v>
      </c>
      <c r="I73" s="63">
        <f t="shared" si="40"/>
        <v>-861.46320000000003</v>
      </c>
      <c r="J73" s="49"/>
    </row>
    <row r="74" spans="2:10" s="127" customFormat="1" ht="20.25" hidden="1" outlineLevel="1">
      <c r="B74" s="18"/>
      <c r="C74" s="19" t="s">
        <v>378</v>
      </c>
      <c r="D74" s="3"/>
      <c r="E74" s="3"/>
      <c r="F74" s="63">
        <f t="shared" si="38"/>
        <v>0</v>
      </c>
      <c r="G74" s="3">
        <v>0</v>
      </c>
      <c r="H74" s="3"/>
      <c r="I74" s="63">
        <f t="shared" si="40"/>
        <v>0</v>
      </c>
      <c r="J74" s="49"/>
    </row>
    <row r="75" spans="2:10" s="127" customFormat="1" ht="20.25" collapsed="1">
      <c r="B75" s="7" t="s">
        <v>238</v>
      </c>
      <c r="C75" s="7"/>
      <c r="D75" s="1">
        <f t="shared" ref="D75:E75" si="41">SUM(D72:D74)</f>
        <v>245.85</v>
      </c>
      <c r="E75" s="1">
        <f t="shared" si="41"/>
        <v>3293.38</v>
      </c>
      <c r="F75" s="63">
        <f t="shared" ref="F75:F78" si="42">D75-E75</f>
        <v>-3047.53</v>
      </c>
      <c r="G75" s="1">
        <f t="shared" ref="G75:H75" si="43">SUM(G72:G74)</f>
        <v>53794.97</v>
      </c>
      <c r="H75" s="1">
        <f t="shared" si="43"/>
        <v>50601.0936</v>
      </c>
      <c r="I75" s="63">
        <f t="shared" ref="I75:I78" si="44">G75-H75</f>
        <v>3193.876400000001</v>
      </c>
      <c r="J75" s="49"/>
    </row>
    <row r="76" spans="2:10" s="127" customFormat="1" ht="20.25" hidden="1" outlineLevel="1">
      <c r="B76" s="18"/>
      <c r="C76" s="19" t="s">
        <v>281</v>
      </c>
      <c r="D76" s="3"/>
      <c r="E76" s="3"/>
      <c r="F76" s="63">
        <f t="shared" si="42"/>
        <v>0</v>
      </c>
      <c r="G76" s="3">
        <v>945.62</v>
      </c>
      <c r="H76" s="3"/>
      <c r="I76" s="63">
        <f t="shared" si="44"/>
        <v>945.62</v>
      </c>
      <c r="J76" s="49"/>
    </row>
    <row r="77" spans="2:10" s="127" customFormat="1" ht="20.25" hidden="1" outlineLevel="1">
      <c r="B77" s="18"/>
      <c r="C77" s="19" t="s">
        <v>246</v>
      </c>
      <c r="D77" s="3"/>
      <c r="E77" s="3"/>
      <c r="F77" s="63">
        <f t="shared" si="42"/>
        <v>0</v>
      </c>
      <c r="G77" s="3">
        <v>4200</v>
      </c>
      <c r="H77" s="3">
        <v>3135.8649999999998</v>
      </c>
      <c r="I77" s="63">
        <f t="shared" si="44"/>
        <v>1064.1350000000002</v>
      </c>
      <c r="J77" s="49"/>
    </row>
    <row r="78" spans="2:10" s="127" customFormat="1" ht="20.25" hidden="1" outlineLevel="1">
      <c r="B78" s="18"/>
      <c r="C78" s="19" t="s">
        <v>411</v>
      </c>
      <c r="D78" s="3">
        <v>9138.94</v>
      </c>
      <c r="E78" s="3"/>
      <c r="F78" s="63">
        <f t="shared" si="42"/>
        <v>9138.94</v>
      </c>
      <c r="G78" s="3">
        <v>16901.71</v>
      </c>
      <c r="H78" s="3">
        <v>30222.9496</v>
      </c>
      <c r="I78" s="63">
        <f t="shared" si="44"/>
        <v>-13321.239600000001</v>
      </c>
      <c r="J78" s="49"/>
    </row>
    <row r="79" spans="2:10" s="127" customFormat="1" ht="20.25" collapsed="1">
      <c r="B79" s="7" t="s">
        <v>84</v>
      </c>
      <c r="C79" s="7"/>
      <c r="D79" s="1">
        <f t="shared" ref="D79:E79" si="45">SUM(D76:D78)</f>
        <v>9138.94</v>
      </c>
      <c r="E79" s="1">
        <f t="shared" si="45"/>
        <v>0</v>
      </c>
      <c r="F79" s="63">
        <f t="shared" ref="F79:F81" si="46">D79-E79</f>
        <v>9138.94</v>
      </c>
      <c r="G79" s="1">
        <f t="shared" ref="G79:H79" si="47">SUM(G76:G78)</f>
        <v>22047.329999999998</v>
      </c>
      <c r="H79" s="1">
        <f t="shared" si="47"/>
        <v>33358.814599999998</v>
      </c>
      <c r="I79" s="63">
        <f t="shared" ref="I79:I81" si="48">G79-H79</f>
        <v>-11311.4846</v>
      </c>
      <c r="J79" s="49"/>
    </row>
    <row r="80" spans="2:10" s="127" customFormat="1" ht="20.25" hidden="1" outlineLevel="1">
      <c r="B80" s="18"/>
      <c r="C80" s="19" t="s">
        <v>92</v>
      </c>
      <c r="D80" s="3"/>
      <c r="E80" s="3"/>
      <c r="F80" s="63">
        <f t="shared" si="46"/>
        <v>0</v>
      </c>
      <c r="G80" s="3">
        <v>1138.82</v>
      </c>
      <c r="H80" s="3"/>
      <c r="I80" s="63">
        <f t="shared" si="48"/>
        <v>1138.82</v>
      </c>
      <c r="J80" s="49"/>
    </row>
    <row r="81" spans="2:10" s="127" customFormat="1" ht="20.25" collapsed="1">
      <c r="B81" s="7" t="s">
        <v>123</v>
      </c>
      <c r="C81" s="7"/>
      <c r="D81" s="1">
        <f t="shared" ref="D81:E81" si="49">SUM(D80)</f>
        <v>0</v>
      </c>
      <c r="E81" s="1">
        <f t="shared" si="49"/>
        <v>0</v>
      </c>
      <c r="F81" s="63">
        <f t="shared" si="46"/>
        <v>0</v>
      </c>
      <c r="G81" s="1">
        <f t="shared" ref="G81:H81" si="50">SUM(G80)</f>
        <v>1138.82</v>
      </c>
      <c r="H81" s="1">
        <f t="shared" si="50"/>
        <v>0</v>
      </c>
      <c r="I81" s="63">
        <f t="shared" si="48"/>
        <v>1138.82</v>
      </c>
      <c r="J81" s="49"/>
    </row>
    <row r="82" spans="2:10" s="127" customFormat="1" ht="20.25">
      <c r="B82" s="7" t="s">
        <v>173</v>
      </c>
      <c r="C82" s="7"/>
      <c r="D82" s="1">
        <f t="shared" ref="D82:E82" si="51">SUM(0)</f>
        <v>0</v>
      </c>
      <c r="E82" s="1">
        <f t="shared" si="51"/>
        <v>0</v>
      </c>
      <c r="F82" s="63">
        <f>D82-E82</f>
        <v>0</v>
      </c>
      <c r="G82" s="1">
        <f t="shared" ref="G82:H82" si="52">SUM(0)</f>
        <v>0</v>
      </c>
      <c r="H82" s="1">
        <f t="shared" si="52"/>
        <v>0</v>
      </c>
      <c r="I82" s="63">
        <f>G82-H82</f>
        <v>0</v>
      </c>
      <c r="J82" s="49"/>
    </row>
    <row r="83" spans="2:10" s="127" customFormat="1" ht="20.25">
      <c r="B83" s="7" t="s">
        <v>481</v>
      </c>
      <c r="C83" s="7"/>
      <c r="D83" s="1">
        <f t="shared" ref="D83:E83" si="53">SUM(0)</f>
        <v>0</v>
      </c>
      <c r="E83" s="1">
        <f t="shared" si="53"/>
        <v>0</v>
      </c>
      <c r="F83" s="63">
        <f t="shared" ref="F83:F92" si="54">D83-E83</f>
        <v>0</v>
      </c>
      <c r="G83" s="1">
        <f t="shared" ref="G83:H83" si="55">SUM(0)</f>
        <v>0</v>
      </c>
      <c r="H83" s="1">
        <f t="shared" si="55"/>
        <v>0</v>
      </c>
      <c r="I83" s="63">
        <f t="shared" ref="I83:I92" si="56">G83-H83</f>
        <v>0</v>
      </c>
      <c r="J83" s="49"/>
    </row>
    <row r="84" spans="2:10" s="127" customFormat="1" ht="20.25" hidden="1" outlineLevel="1">
      <c r="B84" s="18"/>
      <c r="C84" s="19" t="s">
        <v>545</v>
      </c>
      <c r="D84" s="3"/>
      <c r="E84" s="3"/>
      <c r="F84" s="63">
        <f t="shared" si="54"/>
        <v>0</v>
      </c>
      <c r="G84" s="3"/>
      <c r="H84" s="3">
        <v>2353.86</v>
      </c>
      <c r="I84" s="63">
        <f t="shared" si="56"/>
        <v>-2353.86</v>
      </c>
      <c r="J84" s="49"/>
    </row>
    <row r="85" spans="2:10" s="127" customFormat="1" ht="20.25" collapsed="1">
      <c r="B85" s="7" t="s">
        <v>174</v>
      </c>
      <c r="C85" s="7"/>
      <c r="D85" s="1">
        <f t="shared" ref="D85:E85" si="57">SUM(D84)</f>
        <v>0</v>
      </c>
      <c r="E85" s="1">
        <f t="shared" si="57"/>
        <v>0</v>
      </c>
      <c r="F85" s="63">
        <f t="shared" si="54"/>
        <v>0</v>
      </c>
      <c r="G85" s="1">
        <f t="shared" ref="G85:H85" si="58">SUM(G84)</f>
        <v>0</v>
      </c>
      <c r="H85" s="1">
        <f t="shared" si="58"/>
        <v>2353.86</v>
      </c>
      <c r="I85" s="63">
        <f t="shared" si="56"/>
        <v>-2353.86</v>
      </c>
      <c r="J85" s="49"/>
    </row>
    <row r="86" spans="2:10" s="127" customFormat="1" ht="20.25" hidden="1" outlineLevel="1">
      <c r="B86" s="18"/>
      <c r="C86" s="19" t="s">
        <v>128</v>
      </c>
      <c r="D86" s="3"/>
      <c r="E86" s="3"/>
      <c r="F86" s="63">
        <f t="shared" si="54"/>
        <v>0</v>
      </c>
      <c r="G86" s="3">
        <v>18120</v>
      </c>
      <c r="H86" s="3">
        <v>12124.8</v>
      </c>
      <c r="I86" s="63">
        <f t="shared" si="56"/>
        <v>5995.2000000000007</v>
      </c>
      <c r="J86" s="49"/>
    </row>
    <row r="87" spans="2:10" s="127" customFormat="1" ht="20.25" hidden="1" outlineLevel="1">
      <c r="B87" s="18"/>
      <c r="C87" s="19" t="s">
        <v>247</v>
      </c>
      <c r="D87" s="3">
        <v>302</v>
      </c>
      <c r="E87" s="3"/>
      <c r="F87" s="63">
        <f t="shared" si="54"/>
        <v>302</v>
      </c>
      <c r="G87" s="3">
        <v>23518</v>
      </c>
      <c r="H87" s="3">
        <v>29075</v>
      </c>
      <c r="I87" s="63">
        <f t="shared" si="56"/>
        <v>-5557</v>
      </c>
      <c r="J87" s="49"/>
    </row>
    <row r="88" spans="2:10" s="127" customFormat="1" ht="20.25" hidden="1" outlineLevel="1">
      <c r="B88" s="18"/>
      <c r="C88" s="19" t="s">
        <v>489</v>
      </c>
      <c r="D88" s="3"/>
      <c r="E88" s="3"/>
      <c r="F88" s="63">
        <f t="shared" si="54"/>
        <v>0</v>
      </c>
      <c r="G88" s="3">
        <v>1109.9000000000001</v>
      </c>
      <c r="H88" s="3"/>
      <c r="I88" s="63">
        <f t="shared" si="56"/>
        <v>1109.9000000000001</v>
      </c>
      <c r="J88" s="49"/>
    </row>
    <row r="89" spans="2:10" s="127" customFormat="1" ht="20.25" hidden="1" outlineLevel="1">
      <c r="B89" s="18"/>
      <c r="C89" s="19" t="s">
        <v>282</v>
      </c>
      <c r="D89" s="3">
        <v>-10730.5</v>
      </c>
      <c r="E89" s="3">
        <v>-11007</v>
      </c>
      <c r="F89" s="63">
        <f t="shared" si="54"/>
        <v>276.5</v>
      </c>
      <c r="G89" s="3">
        <v>20275.5</v>
      </c>
      <c r="H89" s="3">
        <v>18309.849999999999</v>
      </c>
      <c r="I89" s="63">
        <f t="shared" si="56"/>
        <v>1965.6500000000015</v>
      </c>
      <c r="J89" s="49"/>
    </row>
    <row r="90" spans="2:10" s="127" customFormat="1" ht="20.25" hidden="1" outlineLevel="1">
      <c r="B90" s="18"/>
      <c r="C90" s="19" t="s">
        <v>322</v>
      </c>
      <c r="D90" s="3">
        <v>0.04</v>
      </c>
      <c r="E90" s="3">
        <v>-0.86</v>
      </c>
      <c r="F90" s="63">
        <f t="shared" si="54"/>
        <v>0.9</v>
      </c>
      <c r="G90" s="3">
        <v>-4.66</v>
      </c>
      <c r="H90" s="3">
        <v>0.14000000000000001</v>
      </c>
      <c r="I90" s="63">
        <f t="shared" si="56"/>
        <v>-4.8</v>
      </c>
      <c r="J90" s="49"/>
    </row>
    <row r="91" spans="2:10" s="127" customFormat="1" ht="20.25" hidden="1" outlineLevel="1">
      <c r="B91" s="18"/>
      <c r="C91" s="19" t="s">
        <v>214</v>
      </c>
      <c r="D91" s="3">
        <v>356.5</v>
      </c>
      <c r="E91" s="3">
        <v>265.75</v>
      </c>
      <c r="F91" s="63">
        <f t="shared" si="54"/>
        <v>90.75</v>
      </c>
      <c r="G91" s="3">
        <v>11575.24</v>
      </c>
      <c r="H91" s="3">
        <v>6813.98</v>
      </c>
      <c r="I91" s="63">
        <f t="shared" si="56"/>
        <v>4761.26</v>
      </c>
      <c r="J91" s="49"/>
    </row>
    <row r="92" spans="2:10" s="127" customFormat="1" ht="20.25" hidden="1" outlineLevel="1">
      <c r="B92" s="18"/>
      <c r="C92" s="19" t="s">
        <v>454</v>
      </c>
      <c r="D92" s="3">
        <v>1769.75</v>
      </c>
      <c r="E92" s="3"/>
      <c r="F92" s="63">
        <f t="shared" si="54"/>
        <v>1769.75</v>
      </c>
      <c r="G92" s="3">
        <v>1769.75</v>
      </c>
      <c r="H92" s="3">
        <v>4694.9620000000004</v>
      </c>
      <c r="I92" s="63">
        <f t="shared" si="56"/>
        <v>-2925.2120000000004</v>
      </c>
      <c r="J92" s="49"/>
    </row>
    <row r="93" spans="2:10" s="127" customFormat="1" ht="20.25" collapsed="1">
      <c r="B93" s="7" t="s">
        <v>85</v>
      </c>
      <c r="C93" s="7"/>
      <c r="D93" s="1">
        <f t="shared" ref="D93:E93" si="59">SUM(D86:D92)</f>
        <v>-8302.2099999999991</v>
      </c>
      <c r="E93" s="1">
        <f t="shared" si="59"/>
        <v>-10742.11</v>
      </c>
      <c r="F93" s="63">
        <f>D93-E93</f>
        <v>2439.9000000000015</v>
      </c>
      <c r="G93" s="1">
        <f t="shared" ref="G93:H93" si="60">SUM(G86:G92)</f>
        <v>76363.73</v>
      </c>
      <c r="H93" s="1">
        <f t="shared" si="60"/>
        <v>71018.732000000004</v>
      </c>
      <c r="I93" s="63">
        <f>G93-H93</f>
        <v>5344.9979999999923</v>
      </c>
      <c r="J93" s="49"/>
    </row>
    <row r="94" spans="2:10" s="127" customFormat="1" ht="6.6" customHeight="1" thickBot="1">
      <c r="B94" s="42"/>
      <c r="C94" s="42"/>
      <c r="D94" s="3"/>
      <c r="E94" s="3"/>
      <c r="F94" s="63"/>
      <c r="G94" s="3"/>
      <c r="H94" s="3"/>
      <c r="I94" s="63"/>
      <c r="J94" s="49"/>
    </row>
    <row r="95" spans="2:10" s="127" customFormat="1" ht="20.25">
      <c r="B95" s="133" t="s">
        <v>396</v>
      </c>
      <c r="C95" s="133"/>
      <c r="D95" s="94">
        <f t="shared" ref="D95:E95" si="61">D49+D50+D53+D56++D61+D67+D71+D75+D79+D81+D82+D83+D85+D93</f>
        <v>2544.1600000000017</v>
      </c>
      <c r="E95" s="94">
        <f t="shared" si="61"/>
        <v>2611.3900000000031</v>
      </c>
      <c r="F95" s="156">
        <f>D95-E95</f>
        <v>-67.230000000001382</v>
      </c>
      <c r="G95" s="94">
        <f t="shared" ref="G95:H95" si="62">G49+G50+G53+G56++G61+G67+G71+G75+G79+G81+G82+G83+G85+G93</f>
        <v>462540.02399999998</v>
      </c>
      <c r="H95" s="94">
        <f t="shared" si="62"/>
        <v>481689.68590000004</v>
      </c>
      <c r="I95" s="156">
        <f>G95-H95</f>
        <v>-19149.661900000065</v>
      </c>
      <c r="J95" s="49"/>
    </row>
    <row r="96" spans="2:10" s="127" customFormat="1" ht="6.6" customHeight="1" thickBot="1">
      <c r="B96" s="65"/>
      <c r="C96" s="61"/>
      <c r="D96" s="35"/>
      <c r="E96" s="35"/>
      <c r="F96" s="62"/>
      <c r="G96" s="35"/>
      <c r="H96" s="35"/>
      <c r="I96" s="62"/>
      <c r="J96" s="49"/>
    </row>
    <row r="97" spans="2:10" s="127" customFormat="1" ht="21" thickTop="1">
      <c r="B97" s="73" t="s">
        <v>116</v>
      </c>
      <c r="C97" s="78"/>
      <c r="D97" s="1">
        <f t="shared" ref="D97:E97" si="63">D39-D95</f>
        <v>25145.439999999995</v>
      </c>
      <c r="E97" s="1">
        <f t="shared" si="63"/>
        <v>8822.6099999999969</v>
      </c>
      <c r="F97" s="63">
        <f>D97-E97</f>
        <v>16322.829999999998</v>
      </c>
      <c r="G97" s="1">
        <f t="shared" ref="G97:H97" si="64">G39-G95</f>
        <v>62301.214000000036</v>
      </c>
      <c r="H97" s="1">
        <f t="shared" si="64"/>
        <v>-2227.8159000001033</v>
      </c>
      <c r="I97" s="63">
        <f>G97-H97</f>
        <v>64529.02990000014</v>
      </c>
      <c r="J97" s="49"/>
    </row>
    <row r="98" spans="2:10" s="127" customFormat="1" ht="6.6" customHeight="1">
      <c r="B98" s="42"/>
      <c r="C98" s="42"/>
      <c r="D98" s="3"/>
      <c r="E98" s="3"/>
      <c r="F98" s="63"/>
      <c r="G98" s="3"/>
      <c r="H98" s="3"/>
      <c r="I98" s="63"/>
      <c r="J98" s="49"/>
    </row>
    <row r="99" spans="2:10" s="127" customFormat="1" ht="20.25" hidden="1" outlineLevel="1">
      <c r="B99" s="18"/>
      <c r="C99" s="19" t="s">
        <v>546</v>
      </c>
      <c r="D99" s="3">
        <v>10500</v>
      </c>
      <c r="E99" s="3"/>
      <c r="F99" s="63">
        <f t="shared" ref="F99:F102" si="65">D99-E99</f>
        <v>10500</v>
      </c>
      <c r="G99" s="3">
        <v>10500</v>
      </c>
      <c r="H99" s="3"/>
      <c r="I99" s="63">
        <f t="shared" ref="I99:I102" si="66">G99-H99</f>
        <v>10500</v>
      </c>
      <c r="J99" s="49"/>
    </row>
    <row r="100" spans="2:10" s="127" customFormat="1" ht="20.25" hidden="1" outlineLevel="1">
      <c r="B100" s="18"/>
      <c r="C100" s="19" t="s">
        <v>518</v>
      </c>
      <c r="D100" s="3"/>
      <c r="E100" s="3">
        <v>56006</v>
      </c>
      <c r="F100" s="63">
        <f t="shared" si="65"/>
        <v>-56006</v>
      </c>
      <c r="G100" s="3"/>
      <c r="H100" s="3">
        <v>56006</v>
      </c>
      <c r="I100" s="63">
        <f t="shared" si="66"/>
        <v>-56006</v>
      </c>
      <c r="J100" s="49"/>
    </row>
    <row r="101" spans="2:10" s="127" customFormat="1" ht="20.25" hidden="1" outlineLevel="1">
      <c r="B101" s="18"/>
      <c r="C101" s="19" t="s">
        <v>66</v>
      </c>
      <c r="D101" s="3"/>
      <c r="E101" s="3">
        <v>1850</v>
      </c>
      <c r="F101" s="63">
        <f t="shared" si="65"/>
        <v>-1850</v>
      </c>
      <c r="G101" s="3">
        <v>51256</v>
      </c>
      <c r="H101" s="3">
        <v>1850</v>
      </c>
      <c r="I101" s="63">
        <f t="shared" si="66"/>
        <v>49406</v>
      </c>
      <c r="J101" s="49"/>
    </row>
    <row r="102" spans="2:10" s="127" customFormat="1" ht="20.25" hidden="1" outlineLevel="1">
      <c r="B102" s="18"/>
      <c r="C102" s="19" t="s">
        <v>215</v>
      </c>
      <c r="D102" s="3">
        <v>-1852</v>
      </c>
      <c r="E102" s="3">
        <v>12491</v>
      </c>
      <c r="F102" s="63">
        <f t="shared" si="65"/>
        <v>-14343</v>
      </c>
      <c r="G102" s="3">
        <v>10639</v>
      </c>
      <c r="H102" s="3">
        <v>12491</v>
      </c>
      <c r="I102" s="63">
        <f t="shared" si="66"/>
        <v>-1852</v>
      </c>
      <c r="J102" s="49"/>
    </row>
    <row r="103" spans="2:10" s="127" customFormat="1" ht="20.25" collapsed="1">
      <c r="B103" s="7" t="s">
        <v>199</v>
      </c>
      <c r="C103" s="7"/>
      <c r="D103" s="1">
        <f t="shared" ref="D103:E103" si="67">SUM(D99:D102)</f>
        <v>8648</v>
      </c>
      <c r="E103" s="1">
        <f t="shared" si="67"/>
        <v>70347</v>
      </c>
      <c r="F103" s="63">
        <f>D103-E103</f>
        <v>-61699</v>
      </c>
      <c r="G103" s="1">
        <f t="shared" ref="G103:H103" si="68">SUM(G99:G102)</f>
        <v>72395</v>
      </c>
      <c r="H103" s="1">
        <f t="shared" si="68"/>
        <v>70347</v>
      </c>
      <c r="I103" s="63">
        <f>G103-H103</f>
        <v>2048</v>
      </c>
      <c r="J103" s="49"/>
    </row>
    <row r="104" spans="2:10" s="127" customFormat="1" ht="6.6" customHeight="1" thickBot="1">
      <c r="B104" s="65"/>
      <c r="C104" s="61"/>
      <c r="D104" s="35"/>
      <c r="E104" s="35"/>
      <c r="F104" s="62"/>
      <c r="G104" s="35"/>
      <c r="H104" s="35"/>
      <c r="I104" s="62"/>
      <c r="J104" s="49"/>
    </row>
    <row r="105" spans="2:10" s="127" customFormat="1" ht="21" thickTop="1">
      <c r="B105" s="73" t="s">
        <v>538</v>
      </c>
      <c r="C105" s="78"/>
      <c r="D105" s="1">
        <f t="shared" ref="D105:E105" si="69">D97-D103</f>
        <v>16497.439999999995</v>
      </c>
      <c r="E105" s="1">
        <f t="shared" si="69"/>
        <v>-61524.39</v>
      </c>
      <c r="F105" s="63">
        <f>D105-E105</f>
        <v>78021.829999999987</v>
      </c>
      <c r="G105" s="1">
        <f t="shared" ref="G105:H105" si="70">G97-G103</f>
        <v>-10093.785999999964</v>
      </c>
      <c r="H105" s="1">
        <f t="shared" si="70"/>
        <v>-72574.815900000103</v>
      </c>
      <c r="I105" s="63">
        <f>G105-H105</f>
        <v>62481.02990000014</v>
      </c>
      <c r="J105" s="49"/>
    </row>
    <row r="106" spans="2:10" s="127" customFormat="1" ht="6.6" customHeight="1">
      <c r="B106" s="42"/>
      <c r="C106" s="42"/>
      <c r="D106" s="3"/>
      <c r="E106" s="3"/>
      <c r="F106" s="63"/>
      <c r="G106" s="3"/>
      <c r="H106" s="3"/>
      <c r="I106" s="63"/>
      <c r="J106" s="49"/>
    </row>
    <row r="107" spans="2:10" s="127" customFormat="1" ht="20.25" hidden="1" outlineLevel="1">
      <c r="B107" s="18"/>
      <c r="C107" s="19" t="s">
        <v>248</v>
      </c>
      <c r="D107" s="3">
        <f>-777.65*-1</f>
        <v>777.65</v>
      </c>
      <c r="E107" s="3">
        <f>-43.43*-1</f>
        <v>43.43</v>
      </c>
      <c r="F107" s="63">
        <f t="shared" ref="F107:F109" si="71">D107-E107</f>
        <v>734.22</v>
      </c>
      <c r="G107" s="3">
        <f>-778.71*-1</f>
        <v>778.71</v>
      </c>
      <c r="H107" s="3">
        <f>-2470.04*-1</f>
        <v>2470.04</v>
      </c>
      <c r="I107" s="63">
        <f t="shared" ref="I107:I109" si="72">G107-H107</f>
        <v>-1691.33</v>
      </c>
      <c r="J107" s="49"/>
    </row>
    <row r="108" spans="2:10" s="127" customFormat="1" ht="20.25" hidden="1" outlineLevel="1">
      <c r="B108" s="18"/>
      <c r="C108" s="19" t="s">
        <v>412</v>
      </c>
      <c r="D108" s="3"/>
      <c r="E108" s="3">
        <v>202.43</v>
      </c>
      <c r="F108" s="63">
        <f t="shared" si="71"/>
        <v>-202.43</v>
      </c>
      <c r="G108" s="3">
        <v>445.36</v>
      </c>
      <c r="H108" s="3">
        <v>718.43</v>
      </c>
      <c r="I108" s="63">
        <f t="shared" si="72"/>
        <v>-273.06999999999994</v>
      </c>
      <c r="J108" s="49"/>
    </row>
    <row r="109" spans="2:10" s="127" customFormat="1" ht="20.25" collapsed="1">
      <c r="B109" s="7" t="s">
        <v>81</v>
      </c>
      <c r="C109" s="7"/>
      <c r="D109" s="1">
        <f t="shared" ref="D109:E109" si="73">SUM(D107)-SUM(D108)</f>
        <v>777.65</v>
      </c>
      <c r="E109" s="1">
        <f t="shared" si="73"/>
        <v>-159</v>
      </c>
      <c r="F109" s="63">
        <f t="shared" si="71"/>
        <v>936.65</v>
      </c>
      <c r="G109" s="1">
        <f t="shared" ref="G109:H109" si="74">SUM(G107)-SUM(G108)</f>
        <v>333.35</v>
      </c>
      <c r="H109" s="1">
        <f t="shared" si="74"/>
        <v>1751.6100000000001</v>
      </c>
      <c r="I109" s="63">
        <f t="shared" si="72"/>
        <v>-1418.2600000000002</v>
      </c>
      <c r="J109" s="49"/>
    </row>
    <row r="110" spans="2:10" s="127" customFormat="1" ht="6.6" customHeight="1" thickBot="1">
      <c r="B110" s="65"/>
      <c r="C110" s="61"/>
      <c r="D110" s="35"/>
      <c r="E110" s="35"/>
      <c r="F110" s="62"/>
      <c r="G110" s="35"/>
      <c r="H110" s="35"/>
      <c r="I110" s="62"/>
      <c r="J110" s="49"/>
    </row>
    <row r="111" spans="2:10" s="127" customFormat="1" ht="21.75" thickTop="1" thickBot="1">
      <c r="B111" s="130" t="s">
        <v>117</v>
      </c>
      <c r="C111" s="155"/>
      <c r="D111" s="52">
        <f t="shared" ref="D111:E111" si="75">D105+D109</f>
        <v>17275.089999999997</v>
      </c>
      <c r="E111" s="52">
        <f t="shared" si="75"/>
        <v>-61683.39</v>
      </c>
      <c r="F111" s="143">
        <f>D111-E111</f>
        <v>78958.48</v>
      </c>
      <c r="G111" s="52">
        <f t="shared" ref="G111:H111" si="76">G105+G109</f>
        <v>-9760.4359999999633</v>
      </c>
      <c r="H111" s="52">
        <f t="shared" si="76"/>
        <v>-70823.205900000103</v>
      </c>
      <c r="I111" s="143">
        <f>G111-H111</f>
        <v>61062.769900000138</v>
      </c>
      <c r="J111" s="49"/>
    </row>
    <row r="112" spans="2:10" s="181" customFormat="1" ht="13.5" thickTop="1">
      <c r="B112" s="123"/>
      <c r="C112" s="123"/>
      <c r="D112" s="93"/>
      <c r="E112" s="93"/>
      <c r="F112" s="122"/>
      <c r="G112" s="93"/>
      <c r="H112" s="93"/>
      <c r="I112" s="122"/>
    </row>
    <row r="113" spans="2:11" s="110" customFormat="1" ht="6.6" customHeight="1">
      <c r="B113" s="76"/>
      <c r="C113" s="76"/>
      <c r="D113" s="23"/>
      <c r="E113" s="23"/>
      <c r="F113" s="23"/>
      <c r="G113" s="23"/>
      <c r="H113" s="23"/>
      <c r="I113" s="23"/>
      <c r="J113" s="30"/>
      <c r="K113" s="30"/>
    </row>
    <row r="114" spans="2:11" s="40" customFormat="1" ht="15.6" customHeight="1">
      <c r="B114" s="144" t="s">
        <v>477</v>
      </c>
      <c r="C114" s="59"/>
      <c r="D114" s="13"/>
      <c r="E114" s="13"/>
      <c r="F114" s="13"/>
      <c r="G114" s="13"/>
      <c r="H114" s="13"/>
      <c r="I114" s="13"/>
      <c r="J114" s="10"/>
      <c r="K114" s="10"/>
    </row>
    <row r="115" spans="2:11" s="40" customFormat="1" ht="6.6" customHeight="1">
      <c r="B115" s="8"/>
      <c r="C115" s="8"/>
      <c r="D115" s="26"/>
      <c r="E115" s="26"/>
      <c r="F115" s="92"/>
      <c r="G115" s="26"/>
      <c r="H115" s="26"/>
      <c r="I115" s="92"/>
    </row>
    <row r="116" spans="2:11" s="140" customFormat="1" ht="21.6" customHeight="1">
      <c r="B116" s="119" t="s">
        <v>161</v>
      </c>
      <c r="C116" s="47"/>
      <c r="D116" s="41">
        <f t="shared" ref="D116:E116" si="77">IFERROR(D39/D30,0)</f>
        <v>1</v>
      </c>
      <c r="E116" s="41">
        <f t="shared" si="77"/>
        <v>0.24105072311000547</v>
      </c>
      <c r="F116" s="41"/>
      <c r="G116" s="41">
        <f t="shared" ref="G116:H116" si="78">IFERROR(G39/G30,0)</f>
        <v>0.71040665189413066</v>
      </c>
      <c r="H116" s="41">
        <f t="shared" si="78"/>
        <v>0.83444220290281235</v>
      </c>
      <c r="I116" s="41"/>
      <c r="J116" s="5"/>
      <c r="K116" s="5"/>
    </row>
    <row r="117" spans="2:11" s="140" customFormat="1" ht="21.6" customHeight="1">
      <c r="B117" s="119" t="s">
        <v>437</v>
      </c>
      <c r="C117" s="47"/>
      <c r="D117" s="41">
        <f t="shared" ref="D117:E117" si="79">IFERROR(D97/D30,0)</f>
        <v>0.90811857159366682</v>
      </c>
      <c r="E117" s="41">
        <f t="shared" si="79"/>
        <v>0.18599759666062313</v>
      </c>
      <c r="F117" s="41"/>
      <c r="G117" s="41">
        <f t="shared" ref="G117:H117" si="80">IFERROR(G97/G30,0)</f>
        <v>8.4328733419152105E-2</v>
      </c>
      <c r="H117" s="41">
        <f t="shared" si="80"/>
        <v>-3.8772292930363741E-3</v>
      </c>
      <c r="I117" s="41"/>
      <c r="J117" s="5"/>
      <c r="K117" s="5"/>
    </row>
    <row r="118" spans="2:11" s="140" customFormat="1" ht="21.6" customHeight="1">
      <c r="B118" s="119" t="s">
        <v>341</v>
      </c>
      <c r="C118" s="47"/>
      <c r="D118" s="41">
        <f t="shared" ref="D118:E118" si="81">IFERROR(D105/D30,0)</f>
        <v>0.59579914480526974</v>
      </c>
      <c r="E118" s="41">
        <f t="shared" si="81"/>
        <v>-1.2970525361555003</v>
      </c>
      <c r="F118" s="41"/>
      <c r="G118" s="41">
        <f t="shared" ref="G118:H118" si="82">IFERROR(G105/G30,0)</f>
        <v>-1.3662593938923343E-2</v>
      </c>
      <c r="H118" s="41">
        <f t="shared" si="82"/>
        <v>-0.12630720614939026</v>
      </c>
      <c r="I118" s="41"/>
      <c r="J118" s="5"/>
      <c r="K118" s="5"/>
    </row>
    <row r="119" spans="2:11" s="140" customFormat="1" ht="21.6" customHeight="1">
      <c r="B119" s="119" t="s">
        <v>372</v>
      </c>
      <c r="C119" s="47"/>
      <c r="D119" s="41">
        <f t="shared" ref="D119:E119" si="83">IFERROR(D111/D30,0)</f>
        <v>0.62388369640587071</v>
      </c>
      <c r="E119" s="41">
        <f t="shared" si="83"/>
        <v>-1.300404562128431</v>
      </c>
      <c r="F119" s="41"/>
      <c r="G119" s="41">
        <f t="shared" ref="G119:H119" si="84">IFERROR(G111/G30,0)</f>
        <v>-1.3211383095980949E-2</v>
      </c>
      <c r="H119" s="41">
        <f t="shared" si="84"/>
        <v>-0.1232587524589506</v>
      </c>
      <c r="I119" s="41"/>
      <c r="J119" s="5"/>
      <c r="K119" s="5"/>
    </row>
    <row r="120" spans="2:11" s="140" customFormat="1" ht="21.6" customHeight="1">
      <c r="B120" s="119" t="s">
        <v>479</v>
      </c>
      <c r="C120" s="47"/>
      <c r="D120" s="41">
        <f t="shared" ref="D120:E120" si="85">IFERROR(D49/D30,0)</f>
        <v>-6.903313879579337E-2</v>
      </c>
      <c r="E120" s="41">
        <f t="shared" si="85"/>
        <v>0.18837226462031459</v>
      </c>
      <c r="F120" s="41"/>
      <c r="G120" s="41">
        <f t="shared" ref="G120:H120" si="86">IFERROR(G49/G30,0)</f>
        <v>0.10968233768554514</v>
      </c>
      <c r="H120" s="41">
        <f t="shared" si="86"/>
        <v>0.22591711403374171</v>
      </c>
      <c r="I120" s="41"/>
      <c r="J120" s="5"/>
      <c r="K120" s="5"/>
    </row>
    <row r="121" spans="2:11" s="40" customFormat="1" ht="6.6" customHeight="1">
      <c r="B121" s="114"/>
      <c r="C121" s="117"/>
      <c r="D121" s="14"/>
      <c r="E121" s="14"/>
      <c r="F121" s="14"/>
      <c r="G121" s="14"/>
      <c r="H121" s="14"/>
      <c r="I121" s="14"/>
      <c r="J121" s="10"/>
      <c r="K121" s="10"/>
    </row>
    <row r="123" spans="2:11">
      <c r="B123" s="79" t="s">
        <v>539</v>
      </c>
    </row>
  </sheetData>
  <mergeCells count="3">
    <mergeCell ref="D5:F5"/>
    <mergeCell ref="B6:C6"/>
    <mergeCell ref="D6:F6"/>
  </mergeCells>
  <hyperlinks>
    <hyperlink ref="B1" location="Forside!A1" display="Forside"/>
  </hyperlinks>
  <pageMargins left="0.7" right="0.7" top="0.75" bottom="0.75" header="0.3" footer="0.3"/>
  <pageSetup scale="40" fitToHeight="0" orientation="landscape"/>
  <headerFooter>
    <oddFooter>&amp;CSide &amp;P av 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77"/>
  <sheetViews>
    <sheetView showGridLines="0" zoomScale="70" workbookViewId="0">
      <pane ySplit="15" topLeftCell="A16" activePane="bottomLeft" state="frozen"/>
      <selection activeCell="C29" sqref="C29"/>
      <selection pane="bottomLeft"/>
    </sheetView>
  </sheetViews>
  <sheetFormatPr baseColWidth="10" defaultColWidth="9.140625" defaultRowHeight="12.75" outlineLevelRow="1"/>
  <cols>
    <col min="1" max="1" width="3.28515625" style="79" customWidth="1"/>
    <col min="2" max="2" width="10.7109375" style="79" customWidth="1"/>
    <col min="3" max="3" width="38.28515625" style="79" customWidth="1"/>
    <col min="4" max="9" width="18.7109375" style="79" customWidth="1"/>
    <col min="10" max="16384" width="9.140625" style="79"/>
  </cols>
  <sheetData>
    <row r="1" spans="2:10" s="40" customFormat="1" ht="15.6" customHeight="1">
      <c r="B1" s="59" t="s">
        <v>513</v>
      </c>
    </row>
    <row r="2" spans="2:10" s="40" customFormat="1" ht="21" customHeight="1">
      <c r="B2" s="82" t="e">
        <f ca="1">_xll.OneStop.ReportPlayer.OSRFunctions.OSRGet("ThisCompany","CompanyName")</f>
        <v>#NAME?</v>
      </c>
      <c r="D2" s="8"/>
      <c r="E2" s="8"/>
    </row>
    <row r="3" spans="2:10" s="40" customFormat="1" ht="30.6" customHeight="1">
      <c r="B3" s="85" t="s">
        <v>369</v>
      </c>
      <c r="D3" s="8"/>
      <c r="E3" s="8"/>
      <c r="G3" s="8"/>
      <c r="H3" s="8"/>
    </row>
    <row r="4" spans="2:10" s="40" customFormat="1" ht="21" customHeight="1"/>
    <row r="5" spans="2:10" s="40" customFormat="1" ht="15">
      <c r="B5" s="75" t="s">
        <v>201</v>
      </c>
      <c r="C5" s="109"/>
      <c r="D5" s="189" t="s">
        <v>121</v>
      </c>
      <c r="E5" s="195"/>
      <c r="F5" s="195"/>
    </row>
    <row r="6" spans="2:10" s="40" customFormat="1" ht="30" customHeight="1">
      <c r="B6" s="196">
        <f ca="1">D70</f>
        <v>0</v>
      </c>
      <c r="C6" s="197"/>
      <c r="D6" s="198">
        <f ca="1">D73</f>
        <v>0</v>
      </c>
      <c r="E6" s="198"/>
      <c r="F6" s="198"/>
      <c r="G6" s="77"/>
      <c r="H6" s="77"/>
    </row>
    <row r="7" spans="2:10" s="40" customFormat="1" ht="13.9" customHeight="1"/>
    <row r="8" spans="2:10" s="45" customFormat="1" ht="9.6" customHeight="1"/>
    <row r="9" spans="2:10" s="40" customFormat="1" ht="15.6" customHeight="1">
      <c r="B9" s="83" t="s">
        <v>268</v>
      </c>
      <c r="C9" s="116" t="e">
        <f ca="1">_xll.OneStop.ReportPlayer.OSRFunctions.OSRGet("Period","PeriodId")</f>
        <v>#NAME?</v>
      </c>
      <c r="F9" s="33"/>
      <c r="I9" s="33">
        <f ca="1">TODAY()</f>
        <v>44261</v>
      </c>
    </row>
    <row r="10" spans="2:10" s="45" customFormat="1" ht="6.6" customHeight="1">
      <c r="B10" s="81"/>
      <c r="C10" s="37"/>
      <c r="D10" s="37"/>
      <c r="E10" s="34"/>
      <c r="F10" s="125"/>
      <c r="G10" s="34"/>
      <c r="H10" s="34"/>
      <c r="I10" s="125"/>
    </row>
    <row r="11" spans="2:10" s="126" customFormat="1" ht="18">
      <c r="B11" s="103"/>
      <c r="C11" s="103"/>
      <c r="D11" s="25" t="s">
        <v>233</v>
      </c>
      <c r="E11" s="25" t="s">
        <v>233</v>
      </c>
      <c r="F11" s="124" t="s">
        <v>57</v>
      </c>
      <c r="G11" s="25" t="s">
        <v>233</v>
      </c>
      <c r="H11" s="25" t="s">
        <v>233</v>
      </c>
      <c r="I11" s="124" t="s">
        <v>57</v>
      </c>
    </row>
    <row r="12" spans="2:10" s="126" customFormat="1" ht="18">
      <c r="B12" s="154"/>
      <c r="C12" s="103"/>
      <c r="D12" s="60" t="e">
        <f ca="1">_xll.OneStop.ReportPlayer.OSRFunctions.OSRGet("Period","PeriodId")</f>
        <v>#NAME?</v>
      </c>
      <c r="E12" s="25" t="e">
        <f ca="1">_xll.OneStop.ReportPlayer.OSRFunctions.OSRGet("Period","PeriodId")</f>
        <v>#NAME?</v>
      </c>
      <c r="F12" s="124" t="s">
        <v>234</v>
      </c>
      <c r="G12" s="25" t="s">
        <v>510</v>
      </c>
      <c r="H12" s="25" t="s">
        <v>202</v>
      </c>
      <c r="I12" s="124" t="s">
        <v>234</v>
      </c>
    </row>
    <row r="13" spans="2:10" s="45" customFormat="1" ht="6.6" customHeight="1">
      <c r="B13" s="11"/>
      <c r="C13" s="11"/>
      <c r="D13" s="11"/>
      <c r="E13" s="11"/>
      <c r="F13" s="141"/>
      <c r="G13" s="11"/>
      <c r="H13" s="11"/>
      <c r="I13" s="141"/>
    </row>
    <row r="14" spans="2:10" s="45" customFormat="1" ht="2.4500000000000002" customHeight="1">
      <c r="B14" s="54"/>
      <c r="C14" s="54"/>
      <c r="D14" s="21"/>
      <c r="E14" s="21"/>
      <c r="F14" s="153"/>
      <c r="G14" s="21"/>
      <c r="H14" s="21"/>
      <c r="I14" s="153"/>
    </row>
    <row r="15" spans="2:10" s="45" customFormat="1" ht="6.6" customHeight="1">
      <c r="B15" s="56"/>
      <c r="C15" s="56"/>
      <c r="D15" s="17"/>
      <c r="E15" s="17"/>
      <c r="F15" s="146"/>
      <c r="G15" s="17"/>
      <c r="H15" s="17"/>
      <c r="I15" s="146"/>
    </row>
    <row r="16" spans="2:10" s="45" customFormat="1" ht="15" hidden="1" outlineLevel="1">
      <c r="B16" s="158" t="e">
        <f ca="1">_xll.OneStop.ReportPlayer.OSRFunctions.OSRGet("Journal_Account","AccountNo")</f>
        <v>#NAME?</v>
      </c>
      <c r="C16" s="147" t="e">
        <f ca="1">_xll.OneStop.ReportPlayer.OSRFunctions.OSRGet("Journal_Account","AccountName")</f>
        <v>#NAME?</v>
      </c>
      <c r="D16" s="46" t="e">
        <f ca="1">_xll.OneStop.ReportPlayer.OSRFunctions.OSRGet("Journal_SubEntry","AmtCur")*-1</f>
        <v>#NAME?</v>
      </c>
      <c r="E16" s="46" t="e">
        <f ca="1">_xll.OneStop.ReportPlayer.OSRFunctions.OSRGet("Journal_SubEntry","AmtCur")*-1</f>
        <v>#NAME?</v>
      </c>
      <c r="F16" s="152" t="e">
        <f t="shared" ref="F16:F19" ca="1" si="0">D16-E16</f>
        <v>#NAME?</v>
      </c>
      <c r="G16" s="46" t="e">
        <f ca="1">_xll.OneStop.ReportPlayer.OSRFunctions.OSRGet("Journal_SubEntry","AmtCur")*-1</f>
        <v>#NAME?</v>
      </c>
      <c r="H16" s="46" t="e">
        <f ca="1">_xll.OneStop.ReportPlayer.OSRFunctions.OSRGet("Journal_SubEntry","AmtCur")*-1</f>
        <v>#NAME?</v>
      </c>
      <c r="I16" s="152" t="e">
        <f t="shared" ref="I16:I19" ca="1" si="1">G16-H16</f>
        <v>#NAME?</v>
      </c>
      <c r="J16" s="31"/>
    </row>
    <row r="17" spans="2:10" s="127" customFormat="1" ht="20.25" collapsed="1">
      <c r="B17" s="7" t="s">
        <v>198</v>
      </c>
      <c r="C17" s="7"/>
      <c r="D17" s="1" t="e">
        <f ca="1">SUM(_xll.OneStop.ReportPlayer.OSRFunctions.OSRRef(D16))</f>
        <v>#NAME?</v>
      </c>
      <c r="E17" s="1" t="e">
        <f ca="1">SUM(_xll.OneStop.ReportPlayer.OSRFunctions.OSRRef(E16))</f>
        <v>#NAME?</v>
      </c>
      <c r="F17" s="63" t="e">
        <f t="shared" ca="1" si="0"/>
        <v>#NAME?</v>
      </c>
      <c r="G17" s="1" t="e">
        <f ca="1">SUM(_xll.OneStop.ReportPlayer.OSRFunctions.OSRRef(G16))</f>
        <v>#NAME?</v>
      </c>
      <c r="H17" s="1" t="e">
        <f ca="1">SUM(_xll.OneStop.ReportPlayer.OSRFunctions.OSRRef(H16))</f>
        <v>#NAME?</v>
      </c>
      <c r="I17" s="63" t="e">
        <f t="shared" ca="1" si="1"/>
        <v>#NAME?</v>
      </c>
      <c r="J17" s="49"/>
    </row>
    <row r="18" spans="2:10" s="127" customFormat="1" ht="20.25" hidden="1" outlineLevel="1">
      <c r="B18" s="18" t="e">
        <f ca="1">_xll.OneStop.ReportPlayer.OSRFunctions.OSRGet("Journal_Account","AccountNo")</f>
        <v>#NAME?</v>
      </c>
      <c r="C18" s="19" t="e">
        <f ca="1">_xll.OneStop.ReportPlayer.OSRFunctions.OSRGet("Journal_Account","AccountName")</f>
        <v>#NAME?</v>
      </c>
      <c r="D18" s="3" t="e">
        <f ca="1">_xll.OneStop.ReportPlayer.OSRFunctions.OSRGet("Journal_SubEntry","AmtCur")</f>
        <v>#NAME?</v>
      </c>
      <c r="E18" s="3" t="e">
        <f ca="1">_xll.OneStop.ReportPlayer.OSRFunctions.OSRGet("Journal_SubEntry","AmtCur")</f>
        <v>#NAME?</v>
      </c>
      <c r="F18" s="63" t="e">
        <f t="shared" ca="1" si="0"/>
        <v>#NAME?</v>
      </c>
      <c r="G18" s="3" t="e">
        <f ca="1">_xll.OneStop.ReportPlayer.OSRFunctions.OSRGet("Journal_SubEntry","AmtCur")</f>
        <v>#NAME?</v>
      </c>
      <c r="H18" s="3" t="e">
        <f ca="1">_xll.OneStop.ReportPlayer.OSRFunctions.OSRGet("Journal_SubEntry","AmtCur")</f>
        <v>#NAME?</v>
      </c>
      <c r="I18" s="63" t="e">
        <f t="shared" ca="1" si="1"/>
        <v>#NAME?</v>
      </c>
      <c r="J18" s="49"/>
    </row>
    <row r="19" spans="2:10" s="127" customFormat="1" ht="20.25" collapsed="1">
      <c r="B19" s="7" t="s">
        <v>505</v>
      </c>
      <c r="C19" s="7"/>
      <c r="D19" s="1" t="e">
        <f ca="1">SUM(_xll.OneStop.ReportPlayer.OSRFunctions.OSRRef(D18))</f>
        <v>#NAME?</v>
      </c>
      <c r="E19" s="1" t="e">
        <f ca="1">SUM(_xll.OneStop.ReportPlayer.OSRFunctions.OSRRef(E18))</f>
        <v>#NAME?</v>
      </c>
      <c r="F19" s="63" t="e">
        <f t="shared" ca="1" si="0"/>
        <v>#NAME?</v>
      </c>
      <c r="G19" s="1" t="e">
        <f ca="1">SUM(_xll.OneStop.ReportPlayer.OSRFunctions.OSRRef(G18))</f>
        <v>#NAME?</v>
      </c>
      <c r="H19" s="1" t="e">
        <f ca="1">SUM(_xll.OneStop.ReportPlayer.OSRFunctions.OSRRef(H18))</f>
        <v>#NAME?</v>
      </c>
      <c r="I19" s="63" t="e">
        <f t="shared" ca="1" si="1"/>
        <v>#NAME?</v>
      </c>
      <c r="J19" s="49"/>
    </row>
    <row r="20" spans="2:10" s="127" customFormat="1" ht="6.6" customHeight="1" thickBot="1">
      <c r="B20" s="65"/>
      <c r="C20" s="61"/>
      <c r="D20" s="35"/>
      <c r="E20" s="35"/>
      <c r="F20" s="62"/>
      <c r="G20" s="35"/>
      <c r="H20" s="35"/>
      <c r="I20" s="62"/>
      <c r="J20" s="49"/>
    </row>
    <row r="21" spans="2:10" s="127" customFormat="1" ht="21" thickTop="1">
      <c r="B21" s="73" t="s">
        <v>205</v>
      </c>
      <c r="C21" s="78"/>
      <c r="D21" s="1" t="e">
        <f t="shared" ref="D21:E21" ca="1" si="2">D17-D19</f>
        <v>#NAME?</v>
      </c>
      <c r="E21" s="1" t="e">
        <f t="shared" ca="1" si="2"/>
        <v>#NAME?</v>
      </c>
      <c r="F21" s="63" t="e">
        <f ca="1">D21-E21</f>
        <v>#NAME?</v>
      </c>
      <c r="G21" s="1" t="e">
        <f t="shared" ref="G21:H21" ca="1" si="3">G17-G19</f>
        <v>#NAME?</v>
      </c>
      <c r="H21" s="1" t="e">
        <f t="shared" ca="1" si="3"/>
        <v>#NAME?</v>
      </c>
      <c r="I21" s="63" t="e">
        <f ca="1">G21-H21</f>
        <v>#NAME?</v>
      </c>
      <c r="J21" s="49"/>
    </row>
    <row r="22" spans="2:10" s="127" customFormat="1" ht="6.6" customHeight="1">
      <c r="B22" s="42"/>
      <c r="C22" s="42"/>
      <c r="D22" s="3"/>
      <c r="E22" s="3"/>
      <c r="F22" s="63"/>
      <c r="G22" s="3"/>
      <c r="H22" s="3"/>
      <c r="I22" s="63"/>
      <c r="J22" s="49"/>
    </row>
    <row r="23" spans="2:10" s="127" customFormat="1" ht="20.25" hidden="1" outlineLevel="1">
      <c r="B23" s="18" t="e">
        <f ca="1">_xll.OneStop.ReportPlayer.OSRFunctions.OSRGet("Journal_Account","AccountNo")</f>
        <v>#NAME?</v>
      </c>
      <c r="C23" s="19" t="e">
        <f ca="1">_xll.OneStop.ReportPlayer.OSRFunctions.OSRGet("Journal_Account","AccountName")</f>
        <v>#NAME?</v>
      </c>
      <c r="D23" s="3" t="e">
        <f ca="1">_xll.OneStop.ReportPlayer.OSRFunctions.OSRGet("Journal_SubEntry","AmtCur")</f>
        <v>#NAME?</v>
      </c>
      <c r="E23" s="3" t="e">
        <f ca="1">_xll.OneStop.ReportPlayer.OSRFunctions.OSRGet("Journal_SubEntry","AmtCur")</f>
        <v>#NAME?</v>
      </c>
      <c r="F23" s="63" t="e">
        <f t="shared" ref="F23:F50" ca="1" si="4">D23-E23</f>
        <v>#NAME?</v>
      </c>
      <c r="G23" s="3" t="e">
        <f ca="1">_xll.OneStop.ReportPlayer.OSRFunctions.OSRGet("Journal_SubEntry","AmtCur")</f>
        <v>#NAME?</v>
      </c>
      <c r="H23" s="3" t="e">
        <f ca="1">_xll.OneStop.ReportPlayer.OSRFunctions.OSRGet("Journal_SubEntry","AmtCur")</f>
        <v>#NAME?</v>
      </c>
      <c r="I23" s="63" t="e">
        <f t="shared" ref="I23:I50" ca="1" si="5">G23-H23</f>
        <v>#NAME?</v>
      </c>
      <c r="J23" s="49"/>
    </row>
    <row r="24" spans="2:10" s="127" customFormat="1" ht="20.25" collapsed="1">
      <c r="B24" s="7" t="s">
        <v>310</v>
      </c>
      <c r="C24" s="7"/>
      <c r="D24" s="1" t="e">
        <f ca="1">SUM(_xll.OneStop.ReportPlayer.OSRFunctions.OSRRef(D23))</f>
        <v>#NAME?</v>
      </c>
      <c r="E24" s="1" t="e">
        <f ca="1">SUM(_xll.OneStop.ReportPlayer.OSRFunctions.OSRRef(E23))</f>
        <v>#NAME?</v>
      </c>
      <c r="F24" s="63" t="e">
        <f t="shared" ca="1" si="4"/>
        <v>#NAME?</v>
      </c>
      <c r="G24" s="1" t="e">
        <f ca="1">SUM(_xll.OneStop.ReportPlayer.OSRFunctions.OSRRef(G23))</f>
        <v>#NAME?</v>
      </c>
      <c r="H24" s="1" t="e">
        <f ca="1">SUM(_xll.OneStop.ReportPlayer.OSRFunctions.OSRRef(H23))</f>
        <v>#NAME?</v>
      </c>
      <c r="I24" s="63" t="e">
        <f t="shared" ca="1" si="5"/>
        <v>#NAME?</v>
      </c>
      <c r="J24" s="49"/>
    </row>
    <row r="25" spans="2:10" s="127" customFormat="1" ht="20.25" hidden="1" outlineLevel="1">
      <c r="B25" s="18" t="e">
        <f ca="1">_xll.OneStop.ReportPlayer.OSRFunctions.OSRGet("Journal_Account","AccountNo")</f>
        <v>#NAME?</v>
      </c>
      <c r="C25" s="19" t="e">
        <f ca="1">_xll.OneStop.ReportPlayer.OSRFunctions.OSRGet("Journal_Account","AccountName")</f>
        <v>#NAME?</v>
      </c>
      <c r="D25" s="3" t="e">
        <f ca="1">_xll.OneStop.ReportPlayer.OSRFunctions.OSRGet("Journal_SubEntry","AmtCur")</f>
        <v>#NAME?</v>
      </c>
      <c r="E25" s="3" t="e">
        <f ca="1">_xll.OneStop.ReportPlayer.OSRFunctions.OSRGet("Journal_SubEntry","AmtCur")</f>
        <v>#NAME?</v>
      </c>
      <c r="F25" s="63" t="e">
        <f t="shared" ca="1" si="4"/>
        <v>#NAME?</v>
      </c>
      <c r="G25" s="3" t="e">
        <f ca="1">_xll.OneStop.ReportPlayer.OSRFunctions.OSRGet("Journal_SubEntry","AmtCur")</f>
        <v>#NAME?</v>
      </c>
      <c r="H25" s="3" t="e">
        <f ca="1">_xll.OneStop.ReportPlayer.OSRFunctions.OSRGet("Journal_SubEntry","AmtCur")</f>
        <v>#NAME?</v>
      </c>
      <c r="I25" s="63" t="e">
        <f t="shared" ca="1" si="5"/>
        <v>#NAME?</v>
      </c>
      <c r="J25" s="49"/>
    </row>
    <row r="26" spans="2:10" s="127" customFormat="1" ht="20.25" collapsed="1">
      <c r="B26" s="7" t="s">
        <v>171</v>
      </c>
      <c r="C26" s="7"/>
      <c r="D26" s="1" t="e">
        <f ca="1">SUM(_xll.OneStop.ReportPlayer.OSRFunctions.OSRRef(D25))</f>
        <v>#NAME?</v>
      </c>
      <c r="E26" s="1" t="e">
        <f ca="1">SUM(_xll.OneStop.ReportPlayer.OSRFunctions.OSRRef(E25))</f>
        <v>#NAME?</v>
      </c>
      <c r="F26" s="63" t="e">
        <f t="shared" ca="1" si="4"/>
        <v>#NAME?</v>
      </c>
      <c r="G26" s="1" t="e">
        <f ca="1">SUM(_xll.OneStop.ReportPlayer.OSRFunctions.OSRRef(G25))</f>
        <v>#NAME?</v>
      </c>
      <c r="H26" s="1" t="e">
        <f ca="1">SUM(_xll.OneStop.ReportPlayer.OSRFunctions.OSRRef(H25))</f>
        <v>#NAME?</v>
      </c>
      <c r="I26" s="63" t="e">
        <f t="shared" ca="1" si="5"/>
        <v>#NAME?</v>
      </c>
      <c r="J26" s="49"/>
    </row>
    <row r="27" spans="2:10" s="127" customFormat="1" ht="20.25" hidden="1" outlineLevel="1">
      <c r="B27" s="18" t="e">
        <f ca="1">_xll.OneStop.ReportPlayer.OSRFunctions.OSRGet("Journal_Account","AccountNo")</f>
        <v>#NAME?</v>
      </c>
      <c r="C27" s="19" t="e">
        <f ca="1">_xll.OneStop.ReportPlayer.OSRFunctions.OSRGet("Journal_Account","AccountName")</f>
        <v>#NAME?</v>
      </c>
      <c r="D27" s="3" t="e">
        <f ca="1">_xll.OneStop.ReportPlayer.OSRFunctions.OSRGet("Journal_SubEntry","AmtCur")</f>
        <v>#NAME?</v>
      </c>
      <c r="E27" s="3" t="e">
        <f ca="1">_xll.OneStop.ReportPlayer.OSRFunctions.OSRGet("Journal_SubEntry","AmtCur")</f>
        <v>#NAME?</v>
      </c>
      <c r="F27" s="63" t="e">
        <f t="shared" ca="1" si="4"/>
        <v>#NAME?</v>
      </c>
      <c r="G27" s="3" t="e">
        <f ca="1">_xll.OneStop.ReportPlayer.OSRFunctions.OSRGet("Journal_SubEntry","AmtCur")</f>
        <v>#NAME?</v>
      </c>
      <c r="H27" s="3" t="e">
        <f ca="1">_xll.OneStop.ReportPlayer.OSRFunctions.OSRGet("Journal_SubEntry","AmtCur")</f>
        <v>#NAME?</v>
      </c>
      <c r="I27" s="63" t="e">
        <f t="shared" ca="1" si="5"/>
        <v>#NAME?</v>
      </c>
      <c r="J27" s="49"/>
    </row>
    <row r="28" spans="2:10" s="127" customFormat="1" ht="20.25" collapsed="1">
      <c r="B28" s="7" t="s">
        <v>61</v>
      </c>
      <c r="C28" s="7"/>
      <c r="D28" s="1" t="e">
        <f ca="1">SUM(_xll.OneStop.ReportPlayer.OSRFunctions.OSRRef(D27))</f>
        <v>#NAME?</v>
      </c>
      <c r="E28" s="1" t="e">
        <f ca="1">SUM(_xll.OneStop.ReportPlayer.OSRFunctions.OSRRef(E27))</f>
        <v>#NAME?</v>
      </c>
      <c r="F28" s="63" t="e">
        <f t="shared" ca="1" si="4"/>
        <v>#NAME?</v>
      </c>
      <c r="G28" s="1" t="e">
        <f ca="1">SUM(_xll.OneStop.ReportPlayer.OSRFunctions.OSRRef(G27))</f>
        <v>#NAME?</v>
      </c>
      <c r="H28" s="1" t="e">
        <f ca="1">SUM(_xll.OneStop.ReportPlayer.OSRFunctions.OSRRef(H27))</f>
        <v>#NAME?</v>
      </c>
      <c r="I28" s="63" t="e">
        <f t="shared" ca="1" si="5"/>
        <v>#NAME?</v>
      </c>
      <c r="J28" s="49"/>
    </row>
    <row r="29" spans="2:10" s="127" customFormat="1" ht="20.25" hidden="1" outlineLevel="1">
      <c r="B29" s="18" t="e">
        <f ca="1">_xll.OneStop.ReportPlayer.OSRFunctions.OSRGet("Journal_Account","AccountNo")</f>
        <v>#NAME?</v>
      </c>
      <c r="C29" s="19" t="e">
        <f ca="1">_xll.OneStop.ReportPlayer.OSRFunctions.OSRGet("Journal_Account","AccountName")</f>
        <v>#NAME?</v>
      </c>
      <c r="D29" s="3" t="e">
        <f ca="1">_xll.OneStop.ReportPlayer.OSRFunctions.OSRGet("Journal_SubEntry","AmtCur")</f>
        <v>#NAME?</v>
      </c>
      <c r="E29" s="3" t="e">
        <f ca="1">_xll.OneStop.ReportPlayer.OSRFunctions.OSRGet("Journal_SubEntry","AmtCur")</f>
        <v>#NAME?</v>
      </c>
      <c r="F29" s="63" t="e">
        <f t="shared" ca="1" si="4"/>
        <v>#NAME?</v>
      </c>
      <c r="G29" s="3" t="e">
        <f ca="1">_xll.OneStop.ReportPlayer.OSRFunctions.OSRGet("Journal_SubEntry","AmtCur")</f>
        <v>#NAME?</v>
      </c>
      <c r="H29" s="3" t="e">
        <f ca="1">_xll.OneStop.ReportPlayer.OSRFunctions.OSRGet("Journal_SubEntry","AmtCur")</f>
        <v>#NAME?</v>
      </c>
      <c r="I29" s="63" t="e">
        <f t="shared" ca="1" si="5"/>
        <v>#NAME?</v>
      </c>
      <c r="J29" s="49"/>
    </row>
    <row r="30" spans="2:10" s="127" customFormat="1" ht="20.25" collapsed="1">
      <c r="B30" s="7" t="s">
        <v>541</v>
      </c>
      <c r="C30" s="7"/>
      <c r="D30" s="1" t="e">
        <f ca="1">SUM(_xll.OneStop.ReportPlayer.OSRFunctions.OSRRef(D29))</f>
        <v>#NAME?</v>
      </c>
      <c r="E30" s="1" t="e">
        <f ca="1">SUM(_xll.OneStop.ReportPlayer.OSRFunctions.OSRRef(E29))</f>
        <v>#NAME?</v>
      </c>
      <c r="F30" s="63" t="e">
        <f t="shared" ca="1" si="4"/>
        <v>#NAME?</v>
      </c>
      <c r="G30" s="1" t="e">
        <f ca="1">SUM(_xll.OneStop.ReportPlayer.OSRFunctions.OSRRef(G29))</f>
        <v>#NAME?</v>
      </c>
      <c r="H30" s="1" t="e">
        <f ca="1">SUM(_xll.OneStop.ReportPlayer.OSRFunctions.OSRRef(H29))</f>
        <v>#NAME?</v>
      </c>
      <c r="I30" s="63" t="e">
        <f t="shared" ca="1" si="5"/>
        <v>#NAME?</v>
      </c>
      <c r="J30" s="49"/>
    </row>
    <row r="31" spans="2:10" s="127" customFormat="1" ht="20.25" hidden="1" outlineLevel="1">
      <c r="B31" s="18" t="e">
        <f ca="1">_xll.OneStop.ReportPlayer.OSRFunctions.OSRGet("Journal_Account","AccountNo")</f>
        <v>#NAME?</v>
      </c>
      <c r="C31" s="19" t="e">
        <f ca="1">_xll.OneStop.ReportPlayer.OSRFunctions.OSRGet("Journal_Account","AccountName")</f>
        <v>#NAME?</v>
      </c>
      <c r="D31" s="3" t="e">
        <f ca="1">_xll.OneStop.ReportPlayer.OSRFunctions.OSRGet("Journal_SubEntry","AmtCur")</f>
        <v>#NAME?</v>
      </c>
      <c r="E31" s="3" t="e">
        <f ca="1">_xll.OneStop.ReportPlayer.OSRFunctions.OSRGet("Journal_SubEntry","AmtCur")</f>
        <v>#NAME?</v>
      </c>
      <c r="F31" s="63" t="e">
        <f t="shared" ca="1" si="4"/>
        <v>#NAME?</v>
      </c>
      <c r="G31" s="3" t="e">
        <f ca="1">_xll.OneStop.ReportPlayer.OSRFunctions.OSRGet("Journal_SubEntry","AmtCur")</f>
        <v>#NAME?</v>
      </c>
      <c r="H31" s="3" t="e">
        <f ca="1">_xll.OneStop.ReportPlayer.OSRFunctions.OSRGet("Journal_SubEntry","AmtCur")</f>
        <v>#NAME?</v>
      </c>
      <c r="I31" s="63" t="e">
        <f t="shared" ca="1" si="5"/>
        <v>#NAME?</v>
      </c>
      <c r="J31" s="49"/>
    </row>
    <row r="32" spans="2:10" s="127" customFormat="1" ht="20.25" collapsed="1">
      <c r="B32" s="7" t="s">
        <v>172</v>
      </c>
      <c r="C32" s="7"/>
      <c r="D32" s="1" t="e">
        <f ca="1">SUM(_xll.OneStop.ReportPlayer.OSRFunctions.OSRRef(D31))</f>
        <v>#NAME?</v>
      </c>
      <c r="E32" s="1" t="e">
        <f ca="1">SUM(_xll.OneStop.ReportPlayer.OSRFunctions.OSRRef(E31))</f>
        <v>#NAME?</v>
      </c>
      <c r="F32" s="63" t="e">
        <f t="shared" ca="1" si="4"/>
        <v>#NAME?</v>
      </c>
      <c r="G32" s="1" t="e">
        <f ca="1">SUM(_xll.OneStop.ReportPlayer.OSRFunctions.OSRRef(G31))</f>
        <v>#NAME?</v>
      </c>
      <c r="H32" s="1" t="e">
        <f ca="1">SUM(_xll.OneStop.ReportPlayer.OSRFunctions.OSRRef(H31))</f>
        <v>#NAME?</v>
      </c>
      <c r="I32" s="63" t="e">
        <f t="shared" ca="1" si="5"/>
        <v>#NAME?</v>
      </c>
      <c r="J32" s="49"/>
    </row>
    <row r="33" spans="2:10" s="127" customFormat="1" ht="20.25" hidden="1" outlineLevel="1">
      <c r="B33" s="18" t="e">
        <f ca="1">_xll.OneStop.ReportPlayer.OSRFunctions.OSRGet("Journal_Account","AccountNo")</f>
        <v>#NAME?</v>
      </c>
      <c r="C33" s="19" t="e">
        <f ca="1">_xll.OneStop.ReportPlayer.OSRFunctions.OSRGet("Journal_Account","AccountName")</f>
        <v>#NAME?</v>
      </c>
      <c r="D33" s="3" t="e">
        <f ca="1">_xll.OneStop.ReportPlayer.OSRFunctions.OSRGet("Journal_SubEntry","AmtCur")</f>
        <v>#NAME?</v>
      </c>
      <c r="E33" s="3" t="e">
        <f ca="1">_xll.OneStop.ReportPlayer.OSRFunctions.OSRGet("Journal_SubEntry","AmtCur")</f>
        <v>#NAME?</v>
      </c>
      <c r="F33" s="63" t="e">
        <f t="shared" ca="1" si="4"/>
        <v>#NAME?</v>
      </c>
      <c r="G33" s="3" t="e">
        <f ca="1">_xll.OneStop.ReportPlayer.OSRFunctions.OSRGet("Journal_SubEntry","AmtCur")</f>
        <v>#NAME?</v>
      </c>
      <c r="H33" s="3" t="e">
        <f ca="1">_xll.OneStop.ReportPlayer.OSRFunctions.OSRGet("Journal_SubEntry","AmtCur")</f>
        <v>#NAME?</v>
      </c>
      <c r="I33" s="63" t="e">
        <f t="shared" ca="1" si="5"/>
        <v>#NAME?</v>
      </c>
      <c r="J33" s="49"/>
    </row>
    <row r="34" spans="2:10" s="127" customFormat="1" ht="20.25" collapsed="1">
      <c r="B34" s="7" t="s">
        <v>480</v>
      </c>
      <c r="C34" s="7"/>
      <c r="D34" s="1" t="e">
        <f ca="1">SUM(_xll.OneStop.ReportPlayer.OSRFunctions.OSRRef(D33))</f>
        <v>#NAME?</v>
      </c>
      <c r="E34" s="1" t="e">
        <f ca="1">SUM(_xll.OneStop.ReportPlayer.OSRFunctions.OSRRef(E33))</f>
        <v>#NAME?</v>
      </c>
      <c r="F34" s="63" t="e">
        <f t="shared" ca="1" si="4"/>
        <v>#NAME?</v>
      </c>
      <c r="G34" s="1" t="e">
        <f ca="1">SUM(_xll.OneStop.ReportPlayer.OSRFunctions.OSRRef(G33))</f>
        <v>#NAME?</v>
      </c>
      <c r="H34" s="1" t="e">
        <f ca="1">SUM(_xll.OneStop.ReportPlayer.OSRFunctions.OSRRef(H33))</f>
        <v>#NAME?</v>
      </c>
      <c r="I34" s="63" t="e">
        <f t="shared" ca="1" si="5"/>
        <v>#NAME?</v>
      </c>
      <c r="J34" s="49"/>
    </row>
    <row r="35" spans="2:10" s="127" customFormat="1" ht="20.25" hidden="1" outlineLevel="1">
      <c r="B35" s="18" t="e">
        <f ca="1">_xll.OneStop.ReportPlayer.OSRFunctions.OSRGet("Journal_Account","AccountNo")</f>
        <v>#NAME?</v>
      </c>
      <c r="C35" s="19" t="e">
        <f ca="1">_xll.OneStop.ReportPlayer.OSRFunctions.OSRGet("Journal_Account","AccountName")</f>
        <v>#NAME?</v>
      </c>
      <c r="D35" s="3" t="e">
        <f ca="1">_xll.OneStop.ReportPlayer.OSRFunctions.OSRGet("Journal_SubEntry","AmtCur")</f>
        <v>#NAME?</v>
      </c>
      <c r="E35" s="3" t="e">
        <f ca="1">_xll.OneStop.ReportPlayer.OSRFunctions.OSRGet("Journal_SubEntry","AmtCur")</f>
        <v>#NAME?</v>
      </c>
      <c r="F35" s="63" t="e">
        <f t="shared" ca="1" si="4"/>
        <v>#NAME?</v>
      </c>
      <c r="G35" s="3" t="e">
        <f ca="1">_xll.OneStop.ReportPlayer.OSRFunctions.OSRGet("Journal_SubEntry","AmtCur")</f>
        <v>#NAME?</v>
      </c>
      <c r="H35" s="3" t="e">
        <f ca="1">_xll.OneStop.ReportPlayer.OSRFunctions.OSRGet("Journal_SubEntry","AmtCur")</f>
        <v>#NAME?</v>
      </c>
      <c r="I35" s="63" t="e">
        <f t="shared" ca="1" si="5"/>
        <v>#NAME?</v>
      </c>
      <c r="J35" s="49"/>
    </row>
    <row r="36" spans="2:10" s="127" customFormat="1" ht="20.25" collapsed="1">
      <c r="B36" s="7" t="s">
        <v>443</v>
      </c>
      <c r="C36" s="7"/>
      <c r="D36" s="1" t="e">
        <f ca="1">SUM(_xll.OneStop.ReportPlayer.OSRFunctions.OSRRef(D35))</f>
        <v>#NAME?</v>
      </c>
      <c r="E36" s="1" t="e">
        <f ca="1">SUM(_xll.OneStop.ReportPlayer.OSRFunctions.OSRRef(E35))</f>
        <v>#NAME?</v>
      </c>
      <c r="F36" s="63" t="e">
        <f t="shared" ca="1" si="4"/>
        <v>#NAME?</v>
      </c>
      <c r="G36" s="1" t="e">
        <f ca="1">SUM(_xll.OneStop.ReportPlayer.OSRFunctions.OSRRef(G35))</f>
        <v>#NAME?</v>
      </c>
      <c r="H36" s="1" t="e">
        <f ca="1">SUM(_xll.OneStop.ReportPlayer.OSRFunctions.OSRRef(H35))</f>
        <v>#NAME?</v>
      </c>
      <c r="I36" s="63" t="e">
        <f t="shared" ca="1" si="5"/>
        <v>#NAME?</v>
      </c>
      <c r="J36" s="49"/>
    </row>
    <row r="37" spans="2:10" s="127" customFormat="1" ht="20.25" hidden="1" outlineLevel="1">
      <c r="B37" s="18" t="e">
        <f ca="1">_xll.OneStop.ReportPlayer.OSRFunctions.OSRGet("Journal_Account","AccountNo")</f>
        <v>#NAME?</v>
      </c>
      <c r="C37" s="19" t="e">
        <f ca="1">_xll.OneStop.ReportPlayer.OSRFunctions.OSRGet("Journal_Account","AccountName")</f>
        <v>#NAME?</v>
      </c>
      <c r="D37" s="3" t="e">
        <f ca="1">_xll.OneStop.ReportPlayer.OSRFunctions.OSRGet("Journal_SubEntry","AmtCur")</f>
        <v>#NAME?</v>
      </c>
      <c r="E37" s="3" t="e">
        <f ca="1">_xll.OneStop.ReportPlayer.OSRFunctions.OSRGet("Journal_SubEntry","AmtCur")</f>
        <v>#NAME?</v>
      </c>
      <c r="F37" s="63" t="e">
        <f t="shared" ca="1" si="4"/>
        <v>#NAME?</v>
      </c>
      <c r="G37" s="3" t="e">
        <f ca="1">_xll.OneStop.ReportPlayer.OSRFunctions.OSRGet("Journal_SubEntry","AmtCur")</f>
        <v>#NAME?</v>
      </c>
      <c r="H37" s="3" t="e">
        <f ca="1">_xll.OneStop.ReportPlayer.OSRFunctions.OSRGet("Journal_SubEntry","AmtCur")</f>
        <v>#NAME?</v>
      </c>
      <c r="I37" s="63" t="e">
        <f t="shared" ca="1" si="5"/>
        <v>#NAME?</v>
      </c>
      <c r="J37" s="49"/>
    </row>
    <row r="38" spans="2:10" s="127" customFormat="1" ht="20.25" collapsed="1">
      <c r="B38" s="7" t="s">
        <v>238</v>
      </c>
      <c r="C38" s="7"/>
      <c r="D38" s="1" t="e">
        <f ca="1">SUM(_xll.OneStop.ReportPlayer.OSRFunctions.OSRRef(D37))</f>
        <v>#NAME?</v>
      </c>
      <c r="E38" s="1" t="e">
        <f ca="1">SUM(_xll.OneStop.ReportPlayer.OSRFunctions.OSRRef(E37))</f>
        <v>#NAME?</v>
      </c>
      <c r="F38" s="63" t="e">
        <f t="shared" ca="1" si="4"/>
        <v>#NAME?</v>
      </c>
      <c r="G38" s="1" t="e">
        <f ca="1">SUM(_xll.OneStop.ReportPlayer.OSRFunctions.OSRRef(G37))</f>
        <v>#NAME?</v>
      </c>
      <c r="H38" s="1" t="e">
        <f ca="1">SUM(_xll.OneStop.ReportPlayer.OSRFunctions.OSRRef(H37))</f>
        <v>#NAME?</v>
      </c>
      <c r="I38" s="63" t="e">
        <f t="shared" ca="1" si="5"/>
        <v>#NAME?</v>
      </c>
      <c r="J38" s="49"/>
    </row>
    <row r="39" spans="2:10" s="127" customFormat="1" ht="20.25" hidden="1" outlineLevel="1">
      <c r="B39" s="18" t="e">
        <f ca="1">_xll.OneStop.ReportPlayer.OSRFunctions.OSRGet("Journal_Account","AccountNo")</f>
        <v>#NAME?</v>
      </c>
      <c r="C39" s="19" t="e">
        <f ca="1">_xll.OneStop.ReportPlayer.OSRFunctions.OSRGet("Journal_Account","AccountName")</f>
        <v>#NAME?</v>
      </c>
      <c r="D39" s="3" t="e">
        <f ca="1">_xll.OneStop.ReportPlayer.OSRFunctions.OSRGet("Journal_SubEntry","AmtCur")</f>
        <v>#NAME?</v>
      </c>
      <c r="E39" s="3" t="e">
        <f ca="1">_xll.OneStop.ReportPlayer.OSRFunctions.OSRGet("Journal_SubEntry","AmtCur")</f>
        <v>#NAME?</v>
      </c>
      <c r="F39" s="63" t="e">
        <f t="shared" ca="1" si="4"/>
        <v>#NAME?</v>
      </c>
      <c r="G39" s="3" t="e">
        <f ca="1">_xll.OneStop.ReportPlayer.OSRFunctions.OSRGet("Journal_SubEntry","AmtCur")</f>
        <v>#NAME?</v>
      </c>
      <c r="H39" s="3" t="e">
        <f ca="1">_xll.OneStop.ReportPlayer.OSRFunctions.OSRGet("Journal_SubEntry","AmtCur")</f>
        <v>#NAME?</v>
      </c>
      <c r="I39" s="63" t="e">
        <f t="shared" ca="1" si="5"/>
        <v>#NAME?</v>
      </c>
      <c r="J39" s="49"/>
    </row>
    <row r="40" spans="2:10" s="127" customFormat="1" ht="20.25" collapsed="1">
      <c r="B40" s="7" t="s">
        <v>84</v>
      </c>
      <c r="C40" s="7"/>
      <c r="D40" s="1" t="e">
        <f ca="1">SUM(_xll.OneStop.ReportPlayer.OSRFunctions.OSRRef(D39))</f>
        <v>#NAME?</v>
      </c>
      <c r="E40" s="1" t="e">
        <f ca="1">SUM(_xll.OneStop.ReportPlayer.OSRFunctions.OSRRef(E39))</f>
        <v>#NAME?</v>
      </c>
      <c r="F40" s="63" t="e">
        <f t="shared" ca="1" si="4"/>
        <v>#NAME?</v>
      </c>
      <c r="G40" s="1" t="e">
        <f ca="1">SUM(_xll.OneStop.ReportPlayer.OSRFunctions.OSRRef(G39))</f>
        <v>#NAME?</v>
      </c>
      <c r="H40" s="1" t="e">
        <f ca="1">SUM(_xll.OneStop.ReportPlayer.OSRFunctions.OSRRef(H39))</f>
        <v>#NAME?</v>
      </c>
      <c r="I40" s="63" t="e">
        <f t="shared" ca="1" si="5"/>
        <v>#NAME?</v>
      </c>
      <c r="J40" s="49"/>
    </row>
    <row r="41" spans="2:10" s="127" customFormat="1" ht="20.25" hidden="1" outlineLevel="1">
      <c r="B41" s="18" t="e">
        <f ca="1">_xll.OneStop.ReportPlayer.OSRFunctions.OSRGet("Journal_Account","AccountNo")</f>
        <v>#NAME?</v>
      </c>
      <c r="C41" s="19" t="e">
        <f ca="1">_xll.OneStop.ReportPlayer.OSRFunctions.OSRGet("Journal_Account","AccountName")</f>
        <v>#NAME?</v>
      </c>
      <c r="D41" s="3" t="e">
        <f ca="1">_xll.OneStop.ReportPlayer.OSRFunctions.OSRGet("Journal_SubEntry","AmtCur")</f>
        <v>#NAME?</v>
      </c>
      <c r="E41" s="3" t="e">
        <f ca="1">_xll.OneStop.ReportPlayer.OSRFunctions.OSRGet("Journal_SubEntry","AmtCur")</f>
        <v>#NAME?</v>
      </c>
      <c r="F41" s="63" t="e">
        <f t="shared" ca="1" si="4"/>
        <v>#NAME?</v>
      </c>
      <c r="G41" s="3" t="e">
        <f ca="1">_xll.OneStop.ReportPlayer.OSRFunctions.OSRGet("Journal_SubEntry","AmtCur")</f>
        <v>#NAME?</v>
      </c>
      <c r="H41" s="3" t="e">
        <f ca="1">_xll.OneStop.ReportPlayer.OSRFunctions.OSRGet("Journal_SubEntry","AmtCur")</f>
        <v>#NAME?</v>
      </c>
      <c r="I41" s="63" t="e">
        <f t="shared" ca="1" si="5"/>
        <v>#NAME?</v>
      </c>
      <c r="J41" s="49"/>
    </row>
    <row r="42" spans="2:10" s="127" customFormat="1" ht="20.25" collapsed="1">
      <c r="B42" s="7" t="s">
        <v>123</v>
      </c>
      <c r="C42" s="7"/>
      <c r="D42" s="1" t="e">
        <f ca="1">SUM(_xll.OneStop.ReportPlayer.OSRFunctions.OSRRef(D41))</f>
        <v>#NAME?</v>
      </c>
      <c r="E42" s="1" t="e">
        <f ca="1">SUM(_xll.OneStop.ReportPlayer.OSRFunctions.OSRRef(E41))</f>
        <v>#NAME?</v>
      </c>
      <c r="F42" s="63" t="e">
        <f t="shared" ca="1" si="4"/>
        <v>#NAME?</v>
      </c>
      <c r="G42" s="1" t="e">
        <f ca="1">SUM(_xll.OneStop.ReportPlayer.OSRFunctions.OSRRef(G41))</f>
        <v>#NAME?</v>
      </c>
      <c r="H42" s="1" t="e">
        <f ca="1">SUM(_xll.OneStop.ReportPlayer.OSRFunctions.OSRRef(H41))</f>
        <v>#NAME?</v>
      </c>
      <c r="I42" s="63" t="e">
        <f t="shared" ca="1" si="5"/>
        <v>#NAME?</v>
      </c>
      <c r="J42" s="49"/>
    </row>
    <row r="43" spans="2:10" s="127" customFormat="1" ht="20.25" hidden="1" outlineLevel="1">
      <c r="B43" s="18" t="e">
        <f ca="1">_xll.OneStop.ReportPlayer.OSRFunctions.OSRGet("Journal_Account","AccountNo")</f>
        <v>#NAME?</v>
      </c>
      <c r="C43" s="19" t="e">
        <f ca="1">_xll.OneStop.ReportPlayer.OSRFunctions.OSRGet("Journal_Account","AccountName")</f>
        <v>#NAME?</v>
      </c>
      <c r="D43" s="3" t="e">
        <f ca="1">_xll.OneStop.ReportPlayer.OSRFunctions.OSRGet("Journal_SubEntry","AmtCur")</f>
        <v>#NAME?</v>
      </c>
      <c r="E43" s="3" t="e">
        <f ca="1">_xll.OneStop.ReportPlayer.OSRFunctions.OSRGet("Journal_SubEntry","AmtCur")</f>
        <v>#NAME?</v>
      </c>
      <c r="F43" s="63" t="e">
        <f t="shared" ca="1" si="4"/>
        <v>#NAME?</v>
      </c>
      <c r="G43" s="3" t="e">
        <f ca="1">_xll.OneStop.ReportPlayer.OSRFunctions.OSRGet("Journal_SubEntry","AmtCur")</f>
        <v>#NAME?</v>
      </c>
      <c r="H43" s="3" t="e">
        <f ca="1">_xll.OneStop.ReportPlayer.OSRFunctions.OSRGet("Journal_SubEntry","AmtCur")</f>
        <v>#NAME?</v>
      </c>
      <c r="I43" s="63" t="e">
        <f t="shared" ca="1" si="5"/>
        <v>#NAME?</v>
      </c>
      <c r="J43" s="49"/>
    </row>
    <row r="44" spans="2:10" s="127" customFormat="1" ht="20.25" collapsed="1">
      <c r="B44" s="7" t="s">
        <v>173</v>
      </c>
      <c r="C44" s="7"/>
      <c r="D44" s="1" t="e">
        <f ca="1">SUM(_xll.OneStop.ReportPlayer.OSRFunctions.OSRRef(D43))</f>
        <v>#NAME?</v>
      </c>
      <c r="E44" s="1" t="e">
        <f ca="1">SUM(_xll.OneStop.ReportPlayer.OSRFunctions.OSRRef(E43))</f>
        <v>#NAME?</v>
      </c>
      <c r="F44" s="63" t="e">
        <f t="shared" ca="1" si="4"/>
        <v>#NAME?</v>
      </c>
      <c r="G44" s="1" t="e">
        <f ca="1">SUM(_xll.OneStop.ReportPlayer.OSRFunctions.OSRRef(G43))</f>
        <v>#NAME?</v>
      </c>
      <c r="H44" s="1" t="e">
        <f ca="1">SUM(_xll.OneStop.ReportPlayer.OSRFunctions.OSRRef(H43))</f>
        <v>#NAME?</v>
      </c>
      <c r="I44" s="63" t="e">
        <f t="shared" ca="1" si="5"/>
        <v>#NAME?</v>
      </c>
      <c r="J44" s="49"/>
    </row>
    <row r="45" spans="2:10" s="127" customFormat="1" ht="20.25" hidden="1" outlineLevel="1">
      <c r="B45" s="18" t="e">
        <f ca="1">_xll.OneStop.ReportPlayer.OSRFunctions.OSRGet("Journal_Account","AccountNo")</f>
        <v>#NAME?</v>
      </c>
      <c r="C45" s="19" t="e">
        <f ca="1">_xll.OneStop.ReportPlayer.OSRFunctions.OSRGet("Journal_Account","AccountName")</f>
        <v>#NAME?</v>
      </c>
      <c r="D45" s="3" t="e">
        <f ca="1">_xll.OneStop.ReportPlayer.OSRFunctions.OSRGet("Journal_SubEntry","AmtCur")</f>
        <v>#NAME?</v>
      </c>
      <c r="E45" s="3" t="e">
        <f ca="1">_xll.OneStop.ReportPlayer.OSRFunctions.OSRGet("Journal_SubEntry","AmtCur")</f>
        <v>#NAME?</v>
      </c>
      <c r="F45" s="63" t="e">
        <f t="shared" ca="1" si="4"/>
        <v>#NAME?</v>
      </c>
      <c r="G45" s="3" t="e">
        <f ca="1">_xll.OneStop.ReportPlayer.OSRFunctions.OSRGet("Journal_SubEntry","AmtCur")</f>
        <v>#NAME?</v>
      </c>
      <c r="H45" s="3" t="e">
        <f ca="1">_xll.OneStop.ReportPlayer.OSRFunctions.OSRGet("Journal_SubEntry","AmtCur")</f>
        <v>#NAME?</v>
      </c>
      <c r="I45" s="63" t="e">
        <f t="shared" ca="1" si="5"/>
        <v>#NAME?</v>
      </c>
      <c r="J45" s="49"/>
    </row>
    <row r="46" spans="2:10" s="127" customFormat="1" ht="20.25" collapsed="1">
      <c r="B46" s="7" t="s">
        <v>481</v>
      </c>
      <c r="C46" s="7"/>
      <c r="D46" s="1" t="e">
        <f ca="1">SUM(_xll.OneStop.ReportPlayer.OSRFunctions.OSRRef(D45))</f>
        <v>#NAME?</v>
      </c>
      <c r="E46" s="1" t="e">
        <f ca="1">SUM(_xll.OneStop.ReportPlayer.OSRFunctions.OSRRef(E45))</f>
        <v>#NAME?</v>
      </c>
      <c r="F46" s="63" t="e">
        <f t="shared" ca="1" si="4"/>
        <v>#NAME?</v>
      </c>
      <c r="G46" s="1" t="e">
        <f ca="1">SUM(_xll.OneStop.ReportPlayer.OSRFunctions.OSRRef(G45))</f>
        <v>#NAME?</v>
      </c>
      <c r="H46" s="1" t="e">
        <f ca="1">SUM(_xll.OneStop.ReportPlayer.OSRFunctions.OSRRef(H45))</f>
        <v>#NAME?</v>
      </c>
      <c r="I46" s="63" t="e">
        <f t="shared" ca="1" si="5"/>
        <v>#NAME?</v>
      </c>
      <c r="J46" s="49"/>
    </row>
    <row r="47" spans="2:10" s="127" customFormat="1" ht="20.25" hidden="1" outlineLevel="1">
      <c r="B47" s="18" t="e">
        <f ca="1">_xll.OneStop.ReportPlayer.OSRFunctions.OSRGet("Journal_Account","AccountNo")</f>
        <v>#NAME?</v>
      </c>
      <c r="C47" s="19" t="e">
        <f ca="1">_xll.OneStop.ReportPlayer.OSRFunctions.OSRGet("Journal_Account","AccountName")</f>
        <v>#NAME?</v>
      </c>
      <c r="D47" s="3" t="e">
        <f ca="1">_xll.OneStop.ReportPlayer.OSRFunctions.OSRGet("Journal_SubEntry","AmtCur")</f>
        <v>#NAME?</v>
      </c>
      <c r="E47" s="3" t="e">
        <f ca="1">_xll.OneStop.ReportPlayer.OSRFunctions.OSRGet("Journal_SubEntry","AmtCur")</f>
        <v>#NAME?</v>
      </c>
      <c r="F47" s="63" t="e">
        <f t="shared" ca="1" si="4"/>
        <v>#NAME?</v>
      </c>
      <c r="G47" s="3" t="e">
        <f ca="1">_xll.OneStop.ReportPlayer.OSRFunctions.OSRGet("Journal_SubEntry","AmtCur")</f>
        <v>#NAME?</v>
      </c>
      <c r="H47" s="3" t="e">
        <f ca="1">_xll.OneStop.ReportPlayer.OSRFunctions.OSRGet("Journal_SubEntry","AmtCur")</f>
        <v>#NAME?</v>
      </c>
      <c r="I47" s="63" t="e">
        <f t="shared" ca="1" si="5"/>
        <v>#NAME?</v>
      </c>
      <c r="J47" s="49"/>
    </row>
    <row r="48" spans="2:10" s="127" customFormat="1" ht="20.25" collapsed="1">
      <c r="B48" s="7" t="s">
        <v>174</v>
      </c>
      <c r="C48" s="7"/>
      <c r="D48" s="1" t="e">
        <f ca="1">SUM(_xll.OneStop.ReportPlayer.OSRFunctions.OSRRef(D47))</f>
        <v>#NAME?</v>
      </c>
      <c r="E48" s="1" t="e">
        <f ca="1">SUM(_xll.OneStop.ReportPlayer.OSRFunctions.OSRRef(E47))</f>
        <v>#NAME?</v>
      </c>
      <c r="F48" s="63" t="e">
        <f t="shared" ca="1" si="4"/>
        <v>#NAME?</v>
      </c>
      <c r="G48" s="1" t="e">
        <f ca="1">SUM(_xll.OneStop.ReportPlayer.OSRFunctions.OSRRef(G47))</f>
        <v>#NAME?</v>
      </c>
      <c r="H48" s="1" t="e">
        <f ca="1">SUM(_xll.OneStop.ReportPlayer.OSRFunctions.OSRRef(H47))</f>
        <v>#NAME?</v>
      </c>
      <c r="I48" s="63" t="e">
        <f t="shared" ca="1" si="5"/>
        <v>#NAME?</v>
      </c>
      <c r="J48" s="49"/>
    </row>
    <row r="49" spans="2:10" s="127" customFormat="1" ht="20.25" hidden="1" outlineLevel="1">
      <c r="B49" s="18" t="e">
        <f ca="1">_xll.OneStop.ReportPlayer.OSRFunctions.OSRGet("Journal_Account","AccountNo")</f>
        <v>#NAME?</v>
      </c>
      <c r="C49" s="19" t="e">
        <f ca="1">_xll.OneStop.ReportPlayer.OSRFunctions.OSRGet("Journal_Account","AccountName")</f>
        <v>#NAME?</v>
      </c>
      <c r="D49" s="3" t="e">
        <f ca="1">_xll.OneStop.ReportPlayer.OSRFunctions.OSRGet("Journal_SubEntry","AmtCur")</f>
        <v>#NAME?</v>
      </c>
      <c r="E49" s="3" t="e">
        <f ca="1">_xll.OneStop.ReportPlayer.OSRFunctions.OSRGet("Journal_SubEntry","AmtCur")</f>
        <v>#NAME?</v>
      </c>
      <c r="F49" s="63" t="e">
        <f t="shared" ca="1" si="4"/>
        <v>#NAME?</v>
      </c>
      <c r="G49" s="3" t="e">
        <f ca="1">_xll.OneStop.ReportPlayer.OSRFunctions.OSRGet("Journal_SubEntry","AmtCur")</f>
        <v>#NAME?</v>
      </c>
      <c r="H49" s="3" t="e">
        <f ca="1">_xll.OneStop.ReportPlayer.OSRFunctions.OSRGet("Journal_SubEntry","AmtCur")</f>
        <v>#NAME?</v>
      </c>
      <c r="I49" s="63" t="e">
        <f t="shared" ca="1" si="5"/>
        <v>#NAME?</v>
      </c>
      <c r="J49" s="49"/>
    </row>
    <row r="50" spans="2:10" s="127" customFormat="1" ht="20.25" collapsed="1">
      <c r="B50" s="7" t="s">
        <v>85</v>
      </c>
      <c r="C50" s="7"/>
      <c r="D50" s="1" t="e">
        <f ca="1">SUM(_xll.OneStop.ReportPlayer.OSRFunctions.OSRRef(D49))</f>
        <v>#NAME?</v>
      </c>
      <c r="E50" s="1" t="e">
        <f ca="1">SUM(_xll.OneStop.ReportPlayer.OSRFunctions.OSRRef(E49))</f>
        <v>#NAME?</v>
      </c>
      <c r="F50" s="63" t="e">
        <f t="shared" ca="1" si="4"/>
        <v>#NAME?</v>
      </c>
      <c r="G50" s="1" t="e">
        <f ca="1">SUM(_xll.OneStop.ReportPlayer.OSRFunctions.OSRRef(G49))</f>
        <v>#NAME?</v>
      </c>
      <c r="H50" s="1" t="e">
        <f ca="1">SUM(_xll.OneStop.ReportPlayer.OSRFunctions.OSRRef(H49))</f>
        <v>#NAME?</v>
      </c>
      <c r="I50" s="63" t="e">
        <f t="shared" ca="1" si="5"/>
        <v>#NAME?</v>
      </c>
      <c r="J50" s="49"/>
    </row>
    <row r="51" spans="2:10" s="127" customFormat="1" ht="6.6" customHeight="1" thickBot="1">
      <c r="B51" s="42"/>
      <c r="C51" s="42"/>
      <c r="D51" s="3"/>
      <c r="E51" s="3"/>
      <c r="F51" s="63"/>
      <c r="G51" s="3"/>
      <c r="H51" s="3"/>
      <c r="I51" s="63"/>
      <c r="J51" s="49"/>
    </row>
    <row r="52" spans="2:10" s="127" customFormat="1" ht="20.25">
      <c r="B52" s="133" t="s">
        <v>396</v>
      </c>
      <c r="C52" s="133"/>
      <c r="D52" s="94" t="e">
        <f t="shared" ref="D52:E52" ca="1" si="6">D24+D26+D28+D30++D32+D34+D36+D38+D40+D42+D44+D46+D48+D50</f>
        <v>#NAME?</v>
      </c>
      <c r="E52" s="94" t="e">
        <f t="shared" ca="1" si="6"/>
        <v>#NAME?</v>
      </c>
      <c r="F52" s="156" t="e">
        <f ca="1">D52-E52</f>
        <v>#NAME?</v>
      </c>
      <c r="G52" s="94" t="e">
        <f t="shared" ref="G52:H52" ca="1" si="7">G24+G26+G28+G30++G32+G34+G36+G38+G40+G42+G44+G46+G48+G50</f>
        <v>#NAME?</v>
      </c>
      <c r="H52" s="94" t="e">
        <f t="shared" ca="1" si="7"/>
        <v>#NAME?</v>
      </c>
      <c r="I52" s="156" t="e">
        <f ca="1">G52-H52</f>
        <v>#NAME?</v>
      </c>
      <c r="J52" s="49"/>
    </row>
    <row r="53" spans="2:10" s="127" customFormat="1" ht="6.6" customHeight="1" thickBot="1">
      <c r="B53" s="65"/>
      <c r="C53" s="61"/>
      <c r="D53" s="35"/>
      <c r="E53" s="35"/>
      <c r="F53" s="62"/>
      <c r="G53" s="35"/>
      <c r="H53" s="35"/>
      <c r="I53" s="62"/>
      <c r="J53" s="49"/>
    </row>
    <row r="54" spans="2:10" s="127" customFormat="1" ht="21" thickTop="1">
      <c r="B54" s="73" t="s">
        <v>116</v>
      </c>
      <c r="C54" s="78"/>
      <c r="D54" s="1" t="e">
        <f t="shared" ref="D54:E54" ca="1" si="8">D21-D52</f>
        <v>#NAME?</v>
      </c>
      <c r="E54" s="1" t="e">
        <f t="shared" ca="1" si="8"/>
        <v>#NAME?</v>
      </c>
      <c r="F54" s="63" t="e">
        <f ca="1">D54-E54</f>
        <v>#NAME?</v>
      </c>
      <c r="G54" s="1" t="e">
        <f t="shared" ref="G54:H54" ca="1" si="9">G21-G52</f>
        <v>#NAME?</v>
      </c>
      <c r="H54" s="1" t="e">
        <f t="shared" ca="1" si="9"/>
        <v>#NAME?</v>
      </c>
      <c r="I54" s="63" t="e">
        <f ca="1">G54-H54</f>
        <v>#NAME?</v>
      </c>
      <c r="J54" s="49"/>
    </row>
    <row r="55" spans="2:10" s="127" customFormat="1" ht="6.6" customHeight="1">
      <c r="B55" s="42"/>
      <c r="C55" s="42"/>
      <c r="D55" s="3"/>
      <c r="E55" s="3"/>
      <c r="F55" s="63"/>
      <c r="G55" s="3"/>
      <c r="H55" s="3"/>
      <c r="I55" s="63"/>
      <c r="J55" s="49"/>
    </row>
    <row r="56" spans="2:10" s="127" customFormat="1" ht="20.25" hidden="1" outlineLevel="1">
      <c r="B56" s="18" t="e">
        <f ca="1">_xll.OneStop.ReportPlayer.OSRFunctions.OSRGet("Journal_Account","AccountNo")</f>
        <v>#NAME?</v>
      </c>
      <c r="C56" s="19" t="e">
        <f ca="1">_xll.OneStop.ReportPlayer.OSRFunctions.OSRGet("Journal_Account","AccountName")</f>
        <v>#NAME?</v>
      </c>
      <c r="D56" s="3" t="e">
        <f ca="1">_xll.OneStop.ReportPlayer.OSRFunctions.OSRGet("Journal_SubEntry","AmtCur")</f>
        <v>#NAME?</v>
      </c>
      <c r="E56" s="3" t="e">
        <f ca="1">_xll.OneStop.ReportPlayer.OSRFunctions.OSRGet("Journal_SubEntry","AmtCur")</f>
        <v>#NAME?</v>
      </c>
      <c r="F56" s="63" t="e">
        <f t="shared" ref="F56:F57" ca="1" si="10">D56-E56</f>
        <v>#NAME?</v>
      </c>
      <c r="G56" s="3" t="e">
        <f ca="1">_xll.OneStop.ReportPlayer.OSRFunctions.OSRGet("Journal_SubEntry","AmtCur")</f>
        <v>#NAME?</v>
      </c>
      <c r="H56" s="3" t="e">
        <f ca="1">_xll.OneStop.ReportPlayer.OSRFunctions.OSRGet("Journal_SubEntry","AmtCur")</f>
        <v>#NAME?</v>
      </c>
      <c r="I56" s="63" t="e">
        <f t="shared" ref="I56:I57" ca="1" si="11">G56-H56</f>
        <v>#NAME?</v>
      </c>
      <c r="J56" s="49"/>
    </row>
    <row r="57" spans="2:10" s="127" customFormat="1" ht="20.25" collapsed="1">
      <c r="B57" s="7" t="s">
        <v>199</v>
      </c>
      <c r="C57" s="7"/>
      <c r="D57" s="1" t="e">
        <f ca="1">SUM(_xll.OneStop.ReportPlayer.OSRFunctions.OSRRef(D56))</f>
        <v>#NAME?</v>
      </c>
      <c r="E57" s="1" t="e">
        <f ca="1">SUM(_xll.OneStop.ReportPlayer.OSRFunctions.OSRRef(E56))</f>
        <v>#NAME?</v>
      </c>
      <c r="F57" s="63" t="e">
        <f t="shared" ca="1" si="10"/>
        <v>#NAME?</v>
      </c>
      <c r="G57" s="1" t="e">
        <f ca="1">SUM(_xll.OneStop.ReportPlayer.OSRFunctions.OSRRef(G56))</f>
        <v>#NAME?</v>
      </c>
      <c r="H57" s="1" t="e">
        <f ca="1">SUM(_xll.OneStop.ReportPlayer.OSRFunctions.OSRRef(H56))</f>
        <v>#NAME?</v>
      </c>
      <c r="I57" s="63" t="e">
        <f t="shared" ca="1" si="11"/>
        <v>#NAME?</v>
      </c>
      <c r="J57" s="49"/>
    </row>
    <row r="58" spans="2:10" s="127" customFormat="1" ht="6.6" customHeight="1" thickBot="1">
      <c r="B58" s="65"/>
      <c r="C58" s="61"/>
      <c r="D58" s="35"/>
      <c r="E58" s="35"/>
      <c r="F58" s="62"/>
      <c r="G58" s="35"/>
      <c r="H58" s="35"/>
      <c r="I58" s="62"/>
      <c r="J58" s="49"/>
    </row>
    <row r="59" spans="2:10" s="127" customFormat="1" ht="21" thickTop="1">
      <c r="B59" s="73" t="s">
        <v>538</v>
      </c>
      <c r="C59" s="78"/>
      <c r="D59" s="1" t="e">
        <f t="shared" ref="D59:E59" ca="1" si="12">D54-D57</f>
        <v>#NAME?</v>
      </c>
      <c r="E59" s="1" t="e">
        <f t="shared" ca="1" si="12"/>
        <v>#NAME?</v>
      </c>
      <c r="F59" s="63" t="e">
        <f ca="1">D59-E59</f>
        <v>#NAME?</v>
      </c>
      <c r="G59" s="1" t="e">
        <f t="shared" ref="G59:H59" ca="1" si="13">G54-G57</f>
        <v>#NAME?</v>
      </c>
      <c r="H59" s="1" t="e">
        <f t="shared" ca="1" si="13"/>
        <v>#NAME?</v>
      </c>
      <c r="I59" s="63" t="e">
        <f ca="1">G59-H59</f>
        <v>#NAME?</v>
      </c>
      <c r="J59" s="49"/>
    </row>
    <row r="60" spans="2:10" s="127" customFormat="1" ht="6.6" customHeight="1">
      <c r="B60" s="42"/>
      <c r="C60" s="42"/>
      <c r="D60" s="3"/>
      <c r="E60" s="3"/>
      <c r="F60" s="63"/>
      <c r="G60" s="3"/>
      <c r="H60" s="3"/>
      <c r="I60" s="63"/>
      <c r="J60" s="49"/>
    </row>
    <row r="61" spans="2:10" s="127" customFormat="1" ht="20.25" hidden="1" outlineLevel="1">
      <c r="B61" s="18" t="e">
        <f ca="1">_xll.OneStop.ReportPlayer.OSRFunctions.OSRGet("Journal_Account","AccountNo")</f>
        <v>#NAME?</v>
      </c>
      <c r="C61" s="19" t="e">
        <f ca="1">_xll.OneStop.ReportPlayer.OSRFunctions.OSRGet("Journal_Account","AccountName")</f>
        <v>#NAME?</v>
      </c>
      <c r="D61" s="3" t="e">
        <f ca="1">_xll.OneStop.ReportPlayer.OSRFunctions.OSRGet("Journal_SubEntry","AmtCur")*-1</f>
        <v>#NAME?</v>
      </c>
      <c r="E61" s="3" t="e">
        <f ca="1">_xll.OneStop.ReportPlayer.OSRFunctions.OSRGet("Journal_SubEntry","AmtCur")*-1</f>
        <v>#NAME?</v>
      </c>
      <c r="F61" s="63" t="e">
        <f t="shared" ref="F61:F63" ca="1" si="14">D61-E61</f>
        <v>#NAME?</v>
      </c>
      <c r="G61" s="3" t="e">
        <f ca="1">_xll.OneStop.ReportPlayer.OSRFunctions.OSRGet("Journal_SubEntry","AmtCur")*-1</f>
        <v>#NAME?</v>
      </c>
      <c r="H61" s="3" t="e">
        <f ca="1">_xll.OneStop.ReportPlayer.OSRFunctions.OSRGet("Journal_SubEntry","AmtCur")*-1</f>
        <v>#NAME?</v>
      </c>
      <c r="I61" s="63" t="e">
        <f t="shared" ref="I61:I63" ca="1" si="15">G61-H61</f>
        <v>#NAME?</v>
      </c>
      <c r="J61" s="49"/>
    </row>
    <row r="62" spans="2:10" s="127" customFormat="1" ht="20.25" hidden="1" outlineLevel="1">
      <c r="B62" s="18" t="e">
        <f ca="1">_xll.OneStop.ReportPlayer.OSRFunctions.OSRGet("Journal_Account","AccountNo")</f>
        <v>#NAME?</v>
      </c>
      <c r="C62" s="19" t="e">
        <f ca="1">_xll.OneStop.ReportPlayer.OSRFunctions.OSRGet("Journal_Account","AccountName")</f>
        <v>#NAME?</v>
      </c>
      <c r="D62" s="3" t="e">
        <f ca="1">_xll.OneStop.ReportPlayer.OSRFunctions.OSRGet("Journal_SubEntry","AmtCur")</f>
        <v>#NAME?</v>
      </c>
      <c r="E62" s="3" t="e">
        <f ca="1">_xll.OneStop.ReportPlayer.OSRFunctions.OSRGet("Journal_SubEntry","AmtCur")</f>
        <v>#NAME?</v>
      </c>
      <c r="F62" s="63" t="e">
        <f t="shared" ca="1" si="14"/>
        <v>#NAME?</v>
      </c>
      <c r="G62" s="3" t="e">
        <f ca="1">_xll.OneStop.ReportPlayer.OSRFunctions.OSRGet("Journal_SubEntry","AmtCur")</f>
        <v>#NAME?</v>
      </c>
      <c r="H62" s="3" t="e">
        <f ca="1">_xll.OneStop.ReportPlayer.OSRFunctions.OSRGet("Journal_SubEntry","AmtCur")</f>
        <v>#NAME?</v>
      </c>
      <c r="I62" s="63" t="e">
        <f t="shared" ca="1" si="15"/>
        <v>#NAME?</v>
      </c>
      <c r="J62" s="49"/>
    </row>
    <row r="63" spans="2:10" s="127" customFormat="1" ht="20.25" collapsed="1">
      <c r="B63" s="7" t="s">
        <v>81</v>
      </c>
      <c r="C63" s="7"/>
      <c r="D63" s="1" t="e">
        <f ca="1">SUM(_xll.OneStop.ReportPlayer.OSRFunctions.OSRRef(D61))-SUM(_xll.OneStop.ReportPlayer.OSRFunctions.OSRRef(D62))</f>
        <v>#NAME?</v>
      </c>
      <c r="E63" s="1" t="e">
        <f ca="1">SUM(_xll.OneStop.ReportPlayer.OSRFunctions.OSRRef(E61))-SUM(_xll.OneStop.ReportPlayer.OSRFunctions.OSRRef(E62))</f>
        <v>#NAME?</v>
      </c>
      <c r="F63" s="63" t="e">
        <f t="shared" ca="1" si="14"/>
        <v>#NAME?</v>
      </c>
      <c r="G63" s="1" t="e">
        <f ca="1">SUM(_xll.OneStop.ReportPlayer.OSRFunctions.OSRRef(G61))-SUM(_xll.OneStop.ReportPlayer.OSRFunctions.OSRRef(G62))</f>
        <v>#NAME?</v>
      </c>
      <c r="H63" s="1" t="e">
        <f ca="1">SUM(_xll.OneStop.ReportPlayer.OSRFunctions.OSRRef(H61))-SUM(_xll.OneStop.ReportPlayer.OSRFunctions.OSRRef(H62))</f>
        <v>#NAME?</v>
      </c>
      <c r="I63" s="63" t="e">
        <f t="shared" ca="1" si="15"/>
        <v>#NAME?</v>
      </c>
      <c r="J63" s="49"/>
    </row>
    <row r="64" spans="2:10" s="127" customFormat="1" ht="6.6" customHeight="1" thickBot="1">
      <c r="B64" s="65"/>
      <c r="C64" s="61"/>
      <c r="D64" s="35"/>
      <c r="E64" s="35"/>
      <c r="F64" s="62"/>
      <c r="G64" s="35"/>
      <c r="H64" s="35"/>
      <c r="I64" s="62"/>
      <c r="J64" s="49"/>
    </row>
    <row r="65" spans="2:11" s="127" customFormat="1" ht="21.75" thickTop="1" thickBot="1">
      <c r="B65" s="130" t="s">
        <v>117</v>
      </c>
      <c r="C65" s="155"/>
      <c r="D65" s="52" t="e">
        <f t="shared" ref="D65:E65" ca="1" si="16">D59+D63</f>
        <v>#NAME?</v>
      </c>
      <c r="E65" s="52" t="e">
        <f t="shared" ca="1" si="16"/>
        <v>#NAME?</v>
      </c>
      <c r="F65" s="143" t="e">
        <f ca="1">D65-E65</f>
        <v>#NAME?</v>
      </c>
      <c r="G65" s="52" t="e">
        <f t="shared" ref="G65:H65" ca="1" si="17">G59+G63</f>
        <v>#NAME?</v>
      </c>
      <c r="H65" s="52" t="e">
        <f t="shared" ca="1" si="17"/>
        <v>#NAME?</v>
      </c>
      <c r="I65" s="143" t="e">
        <f ca="1">G65-H65</f>
        <v>#NAME?</v>
      </c>
      <c r="J65" s="49"/>
    </row>
    <row r="66" spans="2:11" s="181" customFormat="1" ht="13.5" thickTop="1">
      <c r="B66" s="123"/>
      <c r="C66" s="123"/>
      <c r="D66" s="93"/>
      <c r="E66" s="93"/>
      <c r="F66" s="122"/>
      <c r="G66" s="93"/>
      <c r="H66" s="93"/>
      <c r="I66" s="122"/>
    </row>
    <row r="67" spans="2:11" s="110" customFormat="1" ht="6.6" customHeight="1">
      <c r="B67" s="76"/>
      <c r="C67" s="76"/>
      <c r="D67" s="23"/>
      <c r="E67" s="23"/>
      <c r="F67" s="23"/>
      <c r="G67" s="23"/>
      <c r="H67" s="23"/>
      <c r="I67" s="23"/>
      <c r="J67" s="30"/>
      <c r="K67" s="30"/>
    </row>
    <row r="68" spans="2:11" s="40" customFormat="1" ht="15.6" customHeight="1">
      <c r="B68" s="144" t="s">
        <v>477</v>
      </c>
      <c r="C68" s="59"/>
      <c r="D68" s="13"/>
      <c r="E68" s="13"/>
      <c r="F68" s="13"/>
      <c r="G68" s="13"/>
      <c r="H68" s="13"/>
      <c r="I68" s="13"/>
      <c r="J68" s="10"/>
      <c r="K68" s="10"/>
    </row>
    <row r="69" spans="2:11" s="40" customFormat="1" ht="6.6" customHeight="1">
      <c r="B69" s="8"/>
      <c r="C69" s="8"/>
      <c r="D69" s="26"/>
      <c r="E69" s="26"/>
      <c r="F69" s="92"/>
      <c r="G69" s="26"/>
      <c r="H69" s="26"/>
      <c r="I69" s="92"/>
    </row>
    <row r="70" spans="2:11" s="140" customFormat="1" ht="21.6" customHeight="1">
      <c r="B70" s="119" t="s">
        <v>161</v>
      </c>
      <c r="C70" s="47"/>
      <c r="D70" s="41">
        <f t="shared" ref="D70:E70" ca="1" si="18">IFERROR(D21/D17,0)</f>
        <v>0</v>
      </c>
      <c r="E70" s="41">
        <f t="shared" ca="1" si="18"/>
        <v>0</v>
      </c>
      <c r="F70" s="41"/>
      <c r="G70" s="41">
        <f t="shared" ref="G70:H70" ca="1" si="19">IFERROR(G21/G17,0)</f>
        <v>0</v>
      </c>
      <c r="H70" s="41">
        <f t="shared" ca="1" si="19"/>
        <v>0</v>
      </c>
      <c r="I70" s="41"/>
      <c r="J70" s="5"/>
      <c r="K70" s="5"/>
    </row>
    <row r="71" spans="2:11" s="140" customFormat="1" ht="21.6" customHeight="1">
      <c r="B71" s="119" t="s">
        <v>437</v>
      </c>
      <c r="C71" s="47"/>
      <c r="D71" s="41">
        <f t="shared" ref="D71:E71" ca="1" si="20">IFERROR(D54/D17,0)</f>
        <v>0</v>
      </c>
      <c r="E71" s="41">
        <f t="shared" ca="1" si="20"/>
        <v>0</v>
      </c>
      <c r="F71" s="41"/>
      <c r="G71" s="41">
        <f t="shared" ref="G71:H71" ca="1" si="21">IFERROR(G54/G17,0)</f>
        <v>0</v>
      </c>
      <c r="H71" s="41">
        <f t="shared" ca="1" si="21"/>
        <v>0</v>
      </c>
      <c r="I71" s="41"/>
      <c r="J71" s="5"/>
      <c r="K71" s="5"/>
    </row>
    <row r="72" spans="2:11" s="140" customFormat="1" ht="21.6" customHeight="1">
      <c r="B72" s="119" t="s">
        <v>341</v>
      </c>
      <c r="C72" s="47"/>
      <c r="D72" s="41">
        <f t="shared" ref="D72:E72" ca="1" si="22">IFERROR(D59/D17,0)</f>
        <v>0</v>
      </c>
      <c r="E72" s="41">
        <f t="shared" ca="1" si="22"/>
        <v>0</v>
      </c>
      <c r="F72" s="41"/>
      <c r="G72" s="41">
        <f t="shared" ref="G72:H72" ca="1" si="23">IFERROR(G59/G17,0)</f>
        <v>0</v>
      </c>
      <c r="H72" s="41">
        <f t="shared" ca="1" si="23"/>
        <v>0</v>
      </c>
      <c r="I72" s="41"/>
      <c r="J72" s="5"/>
      <c r="K72" s="5"/>
    </row>
    <row r="73" spans="2:11" s="140" customFormat="1" ht="21.6" customHeight="1">
      <c r="B73" s="119" t="s">
        <v>372</v>
      </c>
      <c r="C73" s="47"/>
      <c r="D73" s="41">
        <f t="shared" ref="D73:E73" ca="1" si="24">IFERROR(D65/D17,0)</f>
        <v>0</v>
      </c>
      <c r="E73" s="41">
        <f t="shared" ca="1" si="24"/>
        <v>0</v>
      </c>
      <c r="F73" s="41"/>
      <c r="G73" s="41">
        <f t="shared" ref="G73:H73" ca="1" si="25">IFERROR(G65/G17,0)</f>
        <v>0</v>
      </c>
      <c r="H73" s="41">
        <f t="shared" ca="1" si="25"/>
        <v>0</v>
      </c>
      <c r="I73" s="41"/>
      <c r="J73" s="5"/>
      <c r="K73" s="5"/>
    </row>
    <row r="74" spans="2:11" s="140" customFormat="1" ht="21.6" customHeight="1">
      <c r="B74" s="119" t="s">
        <v>479</v>
      </c>
      <c r="C74" s="47"/>
      <c r="D74" s="41">
        <f t="shared" ref="D74:E74" ca="1" si="26">IFERROR(D24/D17,0)</f>
        <v>0</v>
      </c>
      <c r="E74" s="41">
        <f t="shared" ca="1" si="26"/>
        <v>0</v>
      </c>
      <c r="F74" s="41"/>
      <c r="G74" s="41">
        <f t="shared" ref="G74:H74" ca="1" si="27">IFERROR(G24/G17,0)</f>
        <v>0</v>
      </c>
      <c r="H74" s="41">
        <f t="shared" ca="1" si="27"/>
        <v>0</v>
      </c>
      <c r="I74" s="41"/>
      <c r="J74" s="5"/>
      <c r="K74" s="5"/>
    </row>
    <row r="75" spans="2:11" s="40" customFormat="1" ht="6.6" customHeight="1">
      <c r="B75" s="114"/>
      <c r="C75" s="117"/>
      <c r="D75" s="14"/>
      <c r="E75" s="14"/>
      <c r="F75" s="14"/>
      <c r="G75" s="14"/>
      <c r="H75" s="14"/>
      <c r="I75" s="14"/>
      <c r="J75" s="10"/>
      <c r="K75" s="10"/>
    </row>
    <row r="77" spans="2:11">
      <c r="B77" s="79" t="s">
        <v>539</v>
      </c>
    </row>
  </sheetData>
  <mergeCells count="3">
    <mergeCell ref="D5:F5"/>
    <mergeCell ref="B6:C6"/>
    <mergeCell ref="D6:F6"/>
  </mergeCells>
  <hyperlinks>
    <hyperlink ref="B1" location="Forside!A1" display="Forside"/>
  </hyperlinks>
  <pageMargins left="0.7" right="0.7" top="0.75" bottom="0.75" header="0.3" footer="0.3"/>
  <pageSetup scale="40" fitToHeight="0" orientation="landscape"/>
  <headerFooter>
    <oddFooter>&amp;CSide &amp;P av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19</vt:i4>
      </vt:variant>
      <vt:variant>
        <vt:lpstr>Navngitte områder</vt:lpstr>
      </vt:variant>
      <vt:variant>
        <vt:i4>39</vt:i4>
      </vt:variant>
    </vt:vector>
  </HeadingPairs>
  <TitlesOfParts>
    <vt:vector size="58" baseType="lpstr">
      <vt:lpstr>Thumbnail</vt:lpstr>
      <vt:lpstr>OSR_Thumbnai...12e3482a_1XMNI2G</vt:lpstr>
      <vt:lpstr>Forside</vt:lpstr>
      <vt:lpstr>OSR_Forside_3...1201c1b0_ZEK81E</vt:lpstr>
      <vt:lpstr>Kommentarer</vt:lpstr>
      <vt:lpstr>Balanse</vt:lpstr>
      <vt:lpstr>OSR_Sheet1_f0...aacff9c9_HY75AO</vt:lpstr>
      <vt:lpstr>Resultat m fjorår</vt:lpstr>
      <vt:lpstr>OSR_Resultat ...38bb1ce4_Z6PP64</vt:lpstr>
      <vt:lpstr>Resultat pr måned</vt:lpstr>
      <vt:lpstr>OSR_Sheet1 (2...642a1ee9_GZH6UH</vt:lpstr>
      <vt:lpstr>Åpne poster kunder</vt:lpstr>
      <vt:lpstr>OSR_Åpne pos...f878f1a6_17RR30P</vt:lpstr>
      <vt:lpstr>Åpne poster leverandører</vt:lpstr>
      <vt:lpstr>OSR_Åpne post...181a1e51_AZI7GH</vt:lpstr>
      <vt:lpstr>Tabeller Grafik</vt:lpstr>
      <vt:lpstr>OSR_Sheet1_49...64ce2a1b_RRX9XO</vt:lpstr>
      <vt:lpstr>Interface</vt:lpstr>
      <vt:lpstr>DataSetting</vt:lpstr>
      <vt:lpstr>Balanse!IBEK</vt:lpstr>
      <vt:lpstr>OSR_Sheet1_f0...aacff9c9_HY75AO!IBEK</vt:lpstr>
      <vt:lpstr>Balanse!IBGjeld</vt:lpstr>
      <vt:lpstr>OSR_Sheet1_f0...aacff9c9_HY75AO!IBGjeld</vt:lpstr>
      <vt:lpstr>Forside!mnd</vt:lpstr>
      <vt:lpstr>Kommentarer!mnd</vt:lpstr>
      <vt:lpstr>OSR_Forside_3...1201c1b0_ZEK81E!mnd</vt:lpstr>
      <vt:lpstr>Balanse!OSR_GearWriter_0</vt:lpstr>
      <vt:lpstr>Forside!OSR_GearWriter_0</vt:lpstr>
      <vt:lpstr>'Resultat m fjorår'!OSR_GearWriter_0</vt:lpstr>
      <vt:lpstr>'Resultat pr måned'!OSR_GearWriter_0</vt:lpstr>
      <vt:lpstr>Thumbnail!OSR_GearWriter_0</vt:lpstr>
      <vt:lpstr>Balanse!OSR_GearWriter_1</vt:lpstr>
      <vt:lpstr>'Resultat m fjorår'!OSR_GearWriter_1</vt:lpstr>
      <vt:lpstr>'Resultat pr måned'!OSR_GearWriter_1</vt:lpstr>
      <vt:lpstr>Balanse!OSR_GearWriter_2</vt:lpstr>
      <vt:lpstr>'Resultat m fjorår'!OSR_GearWriter_2</vt:lpstr>
      <vt:lpstr>'Resultat pr måned'!OSR_GearWriter_2</vt:lpstr>
      <vt:lpstr>Balanse!OSR_GearWriter_3</vt:lpstr>
      <vt:lpstr>'Resultat pr måned'!OSR_GearWriter_3</vt:lpstr>
      <vt:lpstr>'Åpne poster kunder'!OSRRefG12x</vt:lpstr>
      <vt:lpstr>Balanse!UBAM</vt:lpstr>
      <vt:lpstr>OSR_Sheet1_f0...aacff9c9_HY75AO!UBAM</vt:lpstr>
      <vt:lpstr>Balanse!UBBank</vt:lpstr>
      <vt:lpstr>OSR_Sheet1_f0...aacff9c9_HY75AO!UBBank</vt:lpstr>
      <vt:lpstr>Balanse!UBEK</vt:lpstr>
      <vt:lpstr>OSR_Sheet1_f0...aacff9c9_HY75AO!UBEK</vt:lpstr>
      <vt:lpstr>Balanse!UBGjeld</vt:lpstr>
      <vt:lpstr>OSR_Sheet1_f0...aacff9c9_HY75AO!UBGjeld</vt:lpstr>
      <vt:lpstr>Balanse!UBOM</vt:lpstr>
      <vt:lpstr>OSR_Sheet1_f0...aacff9c9_HY75AO!UBOM</vt:lpstr>
      <vt:lpstr>Balanse!Utskriftsområde</vt:lpstr>
      <vt:lpstr>'OSR_Sheet1 (2...642a1ee9_GZH6UH'!Utskriftsområde</vt:lpstr>
      <vt:lpstr>OSR_Sheet1_f0...aacff9c9_HY75AO!Utskriftsområde</vt:lpstr>
      <vt:lpstr>'OSR_Åpne pos...f878f1a6_17RR30P'!Utskriftsområde</vt:lpstr>
      <vt:lpstr>'OSR_Åpne post...181a1e51_AZI7GH'!Utskriftsområde</vt:lpstr>
      <vt:lpstr>'Resultat pr måned'!Utskriftsområde</vt:lpstr>
      <vt:lpstr>'Åpne poster kunder'!Utskriftsområde</vt:lpstr>
      <vt:lpstr>'Åpne poster leverandører'!Utskriftsområde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Inger Lise Homme</dc:creator>
  <cp:lastModifiedBy>Lars Erik Domaas</cp:lastModifiedBy>
  <cp:lastPrinted>2021-02-12T08:29:24Z</cp:lastPrinted>
  <dcterms:created xsi:type="dcterms:W3CDTF">2021-02-12T08:06:59Z</dcterms:created>
  <dcterms:modified xsi:type="dcterms:W3CDTF">2021-03-06T12:30:12Z</dcterms:modified>
</cp:coreProperties>
</file>